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9000" windowHeight="178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8" i="1"/>
  <c r="D47"/>
  <c r="H40"/>
  <c r="G40"/>
  <c r="F40"/>
  <c r="F37"/>
  <c r="D40"/>
  <c r="D37"/>
  <c r="C40"/>
  <c r="G55"/>
  <c r="G53"/>
  <c r="B37"/>
  <c r="AD3"/>
  <c r="AE3"/>
  <c r="AF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5"/>
  <c r="AD34"/>
  <c r="AD33"/>
  <c r="K3"/>
  <c r="AG3"/>
  <c r="T4"/>
  <c r="K4"/>
  <c r="AG4"/>
  <c r="T5"/>
  <c r="K5"/>
  <c r="AG5"/>
  <c r="T6"/>
  <c r="K6"/>
  <c r="AG6"/>
  <c r="T7"/>
  <c r="K7"/>
  <c r="AG7"/>
  <c r="T8"/>
  <c r="K8"/>
  <c r="AG8"/>
  <c r="T9"/>
  <c r="K9"/>
  <c r="AG9"/>
  <c r="T10"/>
  <c r="K10"/>
  <c r="AG10"/>
  <c r="T11"/>
  <c r="K11"/>
  <c r="AG11"/>
  <c r="T12"/>
  <c r="K12"/>
  <c r="AG12"/>
  <c r="T13"/>
  <c r="K13"/>
  <c r="AG13"/>
  <c r="T14"/>
  <c r="K14"/>
  <c r="AG14"/>
  <c r="T15"/>
  <c r="K15"/>
  <c r="AG15"/>
  <c r="T16"/>
  <c r="K16"/>
  <c r="AG16"/>
  <c r="T17"/>
  <c r="K17"/>
  <c r="AG17"/>
  <c r="K18"/>
  <c r="AG18"/>
  <c r="T19"/>
  <c r="K19"/>
  <c r="AG19"/>
  <c r="T20"/>
  <c r="K20"/>
  <c r="AG20"/>
  <c r="T21"/>
  <c r="K21"/>
  <c r="AG21"/>
  <c r="T22"/>
  <c r="K22"/>
  <c r="AG22"/>
  <c r="T23"/>
  <c r="K23"/>
  <c r="AG23"/>
  <c r="T24"/>
  <c r="K24"/>
  <c r="AG24"/>
  <c r="T25"/>
  <c r="K25"/>
  <c r="AG25"/>
  <c r="T26"/>
  <c r="K26"/>
  <c r="AG26"/>
  <c r="T27"/>
  <c r="K27"/>
  <c r="AG27"/>
  <c r="T28"/>
  <c r="K28"/>
  <c r="AG28"/>
  <c r="T29"/>
  <c r="K29"/>
  <c r="AG29"/>
  <c r="T30"/>
  <c r="K30"/>
  <c r="AG30"/>
  <c r="T31"/>
  <c r="K31"/>
  <c r="AG31"/>
  <c r="T32"/>
  <c r="K32"/>
  <c r="AG32"/>
  <c r="AE4"/>
  <c r="AF4"/>
  <c r="AE5"/>
  <c r="AF5"/>
  <c r="AE6"/>
  <c r="AF6"/>
  <c r="AE7"/>
  <c r="AF7"/>
  <c r="AE8"/>
  <c r="AF8"/>
  <c r="AE9"/>
  <c r="AF9"/>
  <c r="AE10"/>
  <c r="AF10"/>
  <c r="AE11"/>
  <c r="AF11"/>
  <c r="AE12"/>
  <c r="AF12"/>
  <c r="AE13"/>
  <c r="AF13"/>
  <c r="AE14"/>
  <c r="AF14"/>
  <c r="AE15"/>
  <c r="AF15"/>
  <c r="AE16"/>
  <c r="AF16"/>
  <c r="AE17"/>
  <c r="AF17"/>
  <c r="AE18"/>
  <c r="AF18"/>
  <c r="AE19"/>
  <c r="AF19"/>
  <c r="AE20"/>
  <c r="AF20"/>
  <c r="AE21"/>
  <c r="AF21"/>
  <c r="AE22"/>
  <c r="AF22"/>
  <c r="AE23"/>
  <c r="AF23"/>
  <c r="AE24"/>
  <c r="AF24"/>
  <c r="AE25"/>
  <c r="AF25"/>
  <c r="AE26"/>
  <c r="AF26"/>
  <c r="AE27"/>
  <c r="AF27"/>
  <c r="AE28"/>
  <c r="AF28"/>
  <c r="AE29"/>
  <c r="AF29"/>
  <c r="AE30"/>
  <c r="AF30"/>
  <c r="AE31"/>
  <c r="AF31"/>
  <c r="AE32"/>
  <c r="AF32"/>
  <c r="X3"/>
  <c r="Y3"/>
  <c r="Z3"/>
  <c r="M3"/>
  <c r="N3"/>
  <c r="E3"/>
  <c r="AA3"/>
  <c r="X4"/>
  <c r="J4"/>
  <c r="I4"/>
  <c r="M4"/>
  <c r="N4"/>
  <c r="D4"/>
  <c r="E4"/>
  <c r="AA4"/>
  <c r="X5"/>
  <c r="J5"/>
  <c r="B4"/>
  <c r="I5"/>
  <c r="M5"/>
  <c r="N5"/>
  <c r="D5"/>
  <c r="E5"/>
  <c r="AA5"/>
  <c r="X6"/>
  <c r="J6"/>
  <c r="B5"/>
  <c r="I6"/>
  <c r="M6"/>
  <c r="N6"/>
  <c r="D6"/>
  <c r="E6"/>
  <c r="AA6"/>
  <c r="X7"/>
  <c r="J7"/>
  <c r="B6"/>
  <c r="I7"/>
  <c r="M7"/>
  <c r="N7"/>
  <c r="D7"/>
  <c r="E7"/>
  <c r="AA7"/>
  <c r="X8"/>
  <c r="J8"/>
  <c r="B7"/>
  <c r="I8"/>
  <c r="M8"/>
  <c r="N8"/>
  <c r="D8"/>
  <c r="E8"/>
  <c r="AA8"/>
  <c r="X9"/>
  <c r="J9"/>
  <c r="B8"/>
  <c r="I9"/>
  <c r="M9"/>
  <c r="N9"/>
  <c r="D9"/>
  <c r="E9"/>
  <c r="AA9"/>
  <c r="X10"/>
  <c r="J10"/>
  <c r="B9"/>
  <c r="I10"/>
  <c r="M10"/>
  <c r="N10"/>
  <c r="D10"/>
  <c r="E10"/>
  <c r="AA10"/>
  <c r="X11"/>
  <c r="J11"/>
  <c r="B10"/>
  <c r="I11"/>
  <c r="M11"/>
  <c r="N11"/>
  <c r="D11"/>
  <c r="E11"/>
  <c r="AA11"/>
  <c r="X12"/>
  <c r="J12"/>
  <c r="B11"/>
  <c r="I12"/>
  <c r="M12"/>
  <c r="N12"/>
  <c r="D12"/>
  <c r="E12"/>
  <c r="AA12"/>
  <c r="X13"/>
  <c r="J13"/>
  <c r="B12"/>
  <c r="I13"/>
  <c r="M13"/>
  <c r="N13"/>
  <c r="D13"/>
  <c r="E13"/>
  <c r="AA13"/>
  <c r="X14"/>
  <c r="J14"/>
  <c r="B13"/>
  <c r="I14"/>
  <c r="M14"/>
  <c r="N14"/>
  <c r="D14"/>
  <c r="E14"/>
  <c r="AA14"/>
  <c r="X15"/>
  <c r="J15"/>
  <c r="B14"/>
  <c r="I15"/>
  <c r="M15"/>
  <c r="N15"/>
  <c r="D15"/>
  <c r="E15"/>
  <c r="AA15"/>
  <c r="X16"/>
  <c r="J16"/>
  <c r="B15"/>
  <c r="I16"/>
  <c r="M16"/>
  <c r="N16"/>
  <c r="D16"/>
  <c r="E16"/>
  <c r="AA16"/>
  <c r="X17"/>
  <c r="J17"/>
  <c r="B16"/>
  <c r="I17"/>
  <c r="M17"/>
  <c r="N17"/>
  <c r="D17"/>
  <c r="E17"/>
  <c r="AA17"/>
  <c r="X18"/>
  <c r="J18"/>
  <c r="B17"/>
  <c r="I18"/>
  <c r="M18"/>
  <c r="N18"/>
  <c r="D18"/>
  <c r="E18"/>
  <c r="AA18"/>
  <c r="X19"/>
  <c r="J19"/>
  <c r="B18"/>
  <c r="I19"/>
  <c r="M19"/>
  <c r="N19"/>
  <c r="D19"/>
  <c r="E19"/>
  <c r="AA19"/>
  <c r="X20"/>
  <c r="J20"/>
  <c r="B19"/>
  <c r="I20"/>
  <c r="M20"/>
  <c r="N20"/>
  <c r="D20"/>
  <c r="E20"/>
  <c r="AA20"/>
  <c r="X21"/>
  <c r="J21"/>
  <c r="B20"/>
  <c r="I21"/>
  <c r="M21"/>
  <c r="N21"/>
  <c r="D21"/>
  <c r="E21"/>
  <c r="AA21"/>
  <c r="X22"/>
  <c r="J22"/>
  <c r="B21"/>
  <c r="I22"/>
  <c r="M22"/>
  <c r="N22"/>
  <c r="D22"/>
  <c r="E22"/>
  <c r="AA22"/>
  <c r="X23"/>
  <c r="J23"/>
  <c r="B22"/>
  <c r="I23"/>
  <c r="M23"/>
  <c r="N23"/>
  <c r="D23"/>
  <c r="E23"/>
  <c r="AA23"/>
  <c r="X24"/>
  <c r="J24"/>
  <c r="B23"/>
  <c r="I24"/>
  <c r="M24"/>
  <c r="N24"/>
  <c r="D24"/>
  <c r="E24"/>
  <c r="AA24"/>
  <c r="X25"/>
  <c r="J25"/>
  <c r="B24"/>
  <c r="I25"/>
  <c r="M25"/>
  <c r="N25"/>
  <c r="D25"/>
  <c r="E25"/>
  <c r="AA25"/>
  <c r="X26"/>
  <c r="J26"/>
  <c r="B25"/>
  <c r="I26"/>
  <c r="M26"/>
  <c r="N26"/>
  <c r="D26"/>
  <c r="E26"/>
  <c r="AA26"/>
  <c r="X27"/>
  <c r="J27"/>
  <c r="B26"/>
  <c r="I27"/>
  <c r="M27"/>
  <c r="N27"/>
  <c r="D27"/>
  <c r="E27"/>
  <c r="AA27"/>
  <c r="X28"/>
  <c r="J28"/>
  <c r="B27"/>
  <c r="I28"/>
  <c r="M28"/>
  <c r="N28"/>
  <c r="D28"/>
  <c r="E28"/>
  <c r="AA28"/>
  <c r="X29"/>
  <c r="J29"/>
  <c r="B28"/>
  <c r="I29"/>
  <c r="M29"/>
  <c r="N29"/>
  <c r="D29"/>
  <c r="E29"/>
  <c r="AA29"/>
  <c r="X30"/>
  <c r="J30"/>
  <c r="B29"/>
  <c r="I30"/>
  <c r="M30"/>
  <c r="N30"/>
  <c r="D30"/>
  <c r="E30"/>
  <c r="AA30"/>
  <c r="X31"/>
  <c r="J31"/>
  <c r="B30"/>
  <c r="I31"/>
  <c r="M31"/>
  <c r="N31"/>
  <c r="D31"/>
  <c r="E31"/>
  <c r="AA31"/>
  <c r="X32"/>
  <c r="J32"/>
  <c r="B31"/>
  <c r="I32"/>
  <c r="M32"/>
  <c r="N32"/>
  <c r="D32"/>
  <c r="E32"/>
  <c r="AA32"/>
  <c r="Y4"/>
  <c r="Z4"/>
  <c r="Y5"/>
  <c r="Z5"/>
  <c r="Y6"/>
  <c r="Z6"/>
  <c r="Y7"/>
  <c r="Z7"/>
  <c r="Y8"/>
  <c r="Z8"/>
  <c r="Y9"/>
  <c r="Z9"/>
  <c r="Y10"/>
  <c r="Z10"/>
  <c r="Y11"/>
  <c r="Z11"/>
  <c r="Y12"/>
  <c r="Z12"/>
  <c r="Y13"/>
  <c r="Z13"/>
  <c r="Y14"/>
  <c r="Z14"/>
  <c r="Y15"/>
  <c r="Z15"/>
  <c r="Y16"/>
  <c r="Z16"/>
  <c r="Y17"/>
  <c r="Z17"/>
  <c r="Y18"/>
  <c r="Z18"/>
  <c r="Y19"/>
  <c r="Z19"/>
  <c r="Y20"/>
  <c r="Z20"/>
  <c r="Y21"/>
  <c r="Z21"/>
  <c r="Y22"/>
  <c r="Z22"/>
  <c r="Y23"/>
  <c r="Z23"/>
  <c r="Y24"/>
  <c r="Z24"/>
  <c r="Y25"/>
  <c r="Z25"/>
  <c r="Y26"/>
  <c r="Z26"/>
  <c r="Y27"/>
  <c r="Z27"/>
  <c r="Y28"/>
  <c r="Z28"/>
  <c r="Y29"/>
  <c r="Z29"/>
  <c r="Y30"/>
  <c r="Z30"/>
  <c r="Y31"/>
  <c r="Z31"/>
  <c r="Y32"/>
  <c r="Z32"/>
  <c r="R3"/>
  <c r="S3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Q4"/>
  <c r="R4"/>
  <c r="S4"/>
  <c r="Q5"/>
  <c r="R5"/>
  <c r="S5"/>
  <c r="Q6"/>
  <c r="R6"/>
  <c r="S6"/>
  <c r="Q7"/>
  <c r="R7"/>
  <c r="S7"/>
  <c r="Q8"/>
  <c r="R8"/>
  <c r="S8"/>
  <c r="Q9"/>
  <c r="R9"/>
  <c r="S9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16"/>
  <c r="R16"/>
  <c r="S16"/>
  <c r="Q17"/>
  <c r="R17"/>
  <c r="S17"/>
  <c r="Q18"/>
  <c r="R18"/>
  <c r="S18"/>
  <c r="Q19"/>
  <c r="R19"/>
  <c r="S19"/>
  <c r="Q20"/>
  <c r="R20"/>
  <c r="S20"/>
  <c r="Q21"/>
  <c r="R21"/>
  <c r="S21"/>
  <c r="Q22"/>
  <c r="R22"/>
  <c r="S22"/>
  <c r="Q23"/>
  <c r="R23"/>
  <c r="S23"/>
  <c r="Q24"/>
  <c r="R24"/>
  <c r="S24"/>
  <c r="Q25"/>
  <c r="R25"/>
  <c r="S25"/>
  <c r="Q26"/>
  <c r="R26"/>
  <c r="S26"/>
  <c r="Q27"/>
  <c r="R27"/>
  <c r="S27"/>
  <c r="Q28"/>
  <c r="R28"/>
  <c r="S28"/>
  <c r="Q29"/>
  <c r="R29"/>
  <c r="S29"/>
  <c r="Q30"/>
  <c r="R30"/>
  <c r="S30"/>
  <c r="Q31"/>
  <c r="R31"/>
  <c r="S31"/>
  <c r="Q32"/>
  <c r="R32"/>
  <c r="S32"/>
  <c r="X35"/>
  <c r="X34"/>
  <c r="F3"/>
  <c r="X33"/>
  <c r="C37"/>
  <c r="G5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G32"/>
  <c r="G37"/>
  <c r="G50"/>
  <c r="G51"/>
  <c r="C43"/>
  <c r="D43"/>
  <c r="G43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B32"/>
</calcChain>
</file>

<file path=xl/sharedStrings.xml><?xml version="1.0" encoding="utf-8"?>
<sst xmlns="http://schemas.openxmlformats.org/spreadsheetml/2006/main" count="88" uniqueCount="69">
  <si>
    <t>Net amount saved from above:</t>
    <phoneticPr fontId="1" type="noConversion"/>
  </si>
  <si>
    <t>Rate of return on 75K investment = 5.828%</t>
    <phoneticPr fontId="1" type="noConversion"/>
  </si>
  <si>
    <t>20% Dn. Pmt.</t>
    <phoneticPr fontId="1" type="noConversion"/>
  </si>
  <si>
    <t>Mortgage payments on conventional house:</t>
    <phoneticPr fontId="1" type="noConversion"/>
  </si>
  <si>
    <t>Mortgage payment on 30 yr. fixed mortgage, positive NRG home:</t>
    <phoneticPr fontId="1" type="noConversion"/>
  </si>
  <si>
    <t>Energy bill</t>
    <phoneticPr fontId="1" type="noConversion"/>
  </si>
  <si>
    <t>initial Pmt.</t>
    <phoneticPr fontId="1" type="noConversion"/>
  </si>
  <si>
    <t>first year energy bill</t>
    <phoneticPr fontId="1" type="noConversion"/>
  </si>
  <si>
    <t>Total House Pmts.</t>
    <phoneticPr fontId="1" type="noConversion"/>
  </si>
  <si>
    <t>total incl. energy</t>
    <phoneticPr fontId="1" type="noConversion"/>
  </si>
  <si>
    <t>Total house pmts. less Credits for Positive NRG Home</t>
    <phoneticPr fontId="1" type="noConversion"/>
  </si>
  <si>
    <t>Less difference in Down Pmt:</t>
    <phoneticPr fontId="1" type="noConversion"/>
  </si>
  <si>
    <t>Net cash in pocket after Credit:</t>
    <phoneticPr fontId="1" type="noConversion"/>
  </si>
  <si>
    <t>Plus 1st year monthly savings</t>
    <phoneticPr fontId="1" type="noConversion"/>
  </si>
  <si>
    <t>Positive cash in first year:</t>
    <phoneticPr fontId="1" type="noConversion"/>
  </si>
  <si>
    <t>Rate of return average of DJIA last 10 yrs.</t>
    <phoneticPr fontId="1" type="noConversion"/>
  </si>
  <si>
    <t>Gas price with inflation</t>
    <phoneticPr fontId="1" type="noConversion"/>
  </si>
  <si>
    <t>Look what happens if you have to borrow money at 6.99% to pay your energy bills!</t>
    <phoneticPr fontId="1" type="noConversion"/>
  </si>
  <si>
    <t>May-06</t>
    <phoneticPr fontId="1" type="noConversion"/>
  </si>
  <si>
    <t>May-07</t>
    <phoneticPr fontId="1" type="noConversion"/>
  </si>
  <si>
    <t>May-08</t>
    <phoneticPr fontId="1" type="noConversion"/>
  </si>
  <si>
    <t>May-09</t>
    <phoneticPr fontId="1" type="noConversion"/>
  </si>
  <si>
    <t>May-10</t>
    <phoneticPr fontId="1" type="noConversion"/>
  </si>
  <si>
    <t>May-11</t>
    <phoneticPr fontId="1" type="noConversion"/>
  </si>
  <si>
    <t>(10-yr avg.)</t>
    <phoneticPr fontId="1" type="noConversion"/>
  </si>
  <si>
    <t>10 yr. avg.</t>
    <phoneticPr fontId="1" type="noConversion"/>
  </si>
  <si>
    <t>30 yr. avg.</t>
    <phoneticPr fontId="1" type="noConversion"/>
  </si>
  <si>
    <t>12 yr. avg.</t>
    <phoneticPr fontId="1" type="noConversion"/>
  </si>
  <si>
    <t>Year</t>
    <phoneticPr fontId="1" type="noConversion"/>
  </si>
  <si>
    <t>Cost/Yr.</t>
    <phoneticPr fontId="1" type="noConversion"/>
  </si>
  <si>
    <t>Miles/Yr.</t>
    <phoneticPr fontId="1" type="noConversion"/>
  </si>
  <si>
    <t>Miles/Mo.</t>
    <phoneticPr fontId="1" type="noConversion"/>
  </si>
  <si>
    <t>Fuel Economy</t>
    <phoneticPr fontId="1" type="noConversion"/>
  </si>
  <si>
    <t>Cost/Mo.</t>
    <phoneticPr fontId="1" type="noConversion"/>
  </si>
  <si>
    <t>Cost/Yr.</t>
    <phoneticPr fontId="1" type="noConversion"/>
  </si>
  <si>
    <t>Cost to Date</t>
    <phoneticPr fontId="1" type="noConversion"/>
  </si>
  <si>
    <t>Elect. cost to Date</t>
    <phoneticPr fontId="1" type="noConversion"/>
  </si>
  <si>
    <t>Savings with affordable ZEP</t>
    <phoneticPr fontId="1" type="noConversion"/>
  </si>
  <si>
    <t>Purchase price</t>
    <phoneticPr fontId="1" type="noConversion"/>
  </si>
  <si>
    <t>Mo. Pmt.</t>
    <phoneticPr fontId="1" type="noConversion"/>
  </si>
  <si>
    <t>Total Pmts.</t>
    <phoneticPr fontId="1" type="noConversion"/>
  </si>
  <si>
    <t>Tax Credit</t>
    <phoneticPr fontId="1" type="noConversion"/>
  </si>
  <si>
    <t>Incentives:</t>
    <phoneticPr fontId="1" type="noConversion"/>
  </si>
  <si>
    <t>Mini-split:</t>
    <phoneticPr fontId="1" type="noConversion"/>
  </si>
  <si>
    <t>E-Star</t>
    <phoneticPr fontId="1" type="noConversion"/>
  </si>
  <si>
    <t>Total incentives / Credits:</t>
    <phoneticPr fontId="1" type="noConversion"/>
  </si>
  <si>
    <t>35 year average Energy Inflation Rate</t>
    <phoneticPr fontId="1" type="noConversion"/>
  </si>
  <si>
    <t>Electricity Cost per KWh</t>
    <phoneticPr fontId="1" type="noConversion"/>
  </si>
  <si>
    <t>Electricity Cost/Mo.</t>
    <phoneticPr fontId="1" type="noConversion"/>
  </si>
  <si>
    <t>Net cost of house in 30 yrs.</t>
    <phoneticPr fontId="1" type="noConversion"/>
  </si>
  <si>
    <t>cost of house and energy per month/30 yrs.</t>
    <phoneticPr fontId="1" type="noConversion"/>
  </si>
  <si>
    <t>Net cost of energy now with conventional house:</t>
    <phoneticPr fontId="1" type="noConversion"/>
  </si>
  <si>
    <t>(allowing $55,000 land price)</t>
    <phoneticPr fontId="1" type="noConversion"/>
  </si>
  <si>
    <t>amount invested</t>
    <phoneticPr fontId="1" type="noConversion"/>
  </si>
  <si>
    <t>Future value of investment in stock market,    Year</t>
    <phoneticPr fontId="1" type="noConversion"/>
  </si>
  <si>
    <t>earnings</t>
    <phoneticPr fontId="1" type="noConversion"/>
  </si>
  <si>
    <t>value</t>
    <phoneticPr fontId="1" type="noConversion"/>
  </si>
  <si>
    <t>Actual DJIA value last 30 years:</t>
    <phoneticPr fontId="1" type="noConversion"/>
  </si>
  <si>
    <t>Pct. Increase (decrease)</t>
    <phoneticPr fontId="1" type="noConversion"/>
  </si>
  <si>
    <t>Actual earings</t>
    <phoneticPr fontId="1" type="noConversion"/>
  </si>
  <si>
    <t>Actual value</t>
    <phoneticPr fontId="1" type="noConversion"/>
  </si>
  <si>
    <t>Actual value with utilities withdrawn at 3.62 rate</t>
    <phoneticPr fontId="1" type="noConversion"/>
  </si>
  <si>
    <t>Actual value if utilities and fuel costs are withdrawn at 30-yr. hist. rate</t>
    <phoneticPr fontId="1" type="noConversion"/>
  </si>
  <si>
    <t>Year</t>
    <phoneticPr fontId="1" type="noConversion"/>
  </si>
  <si>
    <t>May-02</t>
    <phoneticPr fontId="1" type="noConversion"/>
  </si>
  <si>
    <t>May-03</t>
    <phoneticPr fontId="1" type="noConversion"/>
  </si>
  <si>
    <t>May-04</t>
    <phoneticPr fontId="1" type="noConversion"/>
  </si>
  <si>
    <t>May-05</t>
    <phoneticPr fontId="1" type="noConversion"/>
  </si>
  <si>
    <t>Pct. Increase (decrease) including avg. fees (1.5%)</t>
    <phoneticPr fontId="1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</si>
</sst>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$&quot;#,##0.00"/>
    <numFmt numFmtId="169" formatCode="0.00000%"/>
    <numFmt numFmtId="170" formatCode="&quot;$&quot;#,##0.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0" fontId="0" fillId="0" borderId="0" xfId="0" applyNumberFormat="1"/>
    <xf numFmtId="168" fontId="0" fillId="0" borderId="0" xfId="0" applyNumberFormat="1"/>
    <xf numFmtId="1" fontId="0" fillId="0" borderId="0" xfId="0" applyNumberFormat="1"/>
    <xf numFmtId="168" fontId="0" fillId="0" borderId="0" xfId="0" applyNumberFormat="1"/>
    <xf numFmtId="168" fontId="0" fillId="0" borderId="0" xfId="0" applyNumberFormat="1"/>
    <xf numFmtId="168" fontId="0" fillId="0" borderId="0" xfId="0" applyNumberFormat="1" applyAlignment="1">
      <alignment wrapText="1"/>
    </xf>
    <xf numFmtId="3" fontId="0" fillId="0" borderId="0" xfId="0" applyNumberFormat="1"/>
    <xf numFmtId="0" fontId="0" fillId="0" borderId="0" xfId="0" applyAlignment="1">
      <alignment wrapText="1"/>
    </xf>
    <xf numFmtId="168" fontId="0" fillId="0" borderId="0" xfId="0" applyNumberFormat="1" applyAlignment="1">
      <alignment horizontal="right"/>
    </xf>
    <xf numFmtId="1" fontId="0" fillId="0" borderId="0" xfId="0" applyNumberFormat="1" applyAlignment="1">
      <alignment wrapText="1"/>
    </xf>
    <xf numFmtId="168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0" fontId="0" fillId="0" borderId="0" xfId="0" applyNumberFormat="1" applyAlignment="1">
      <alignment wrapText="1"/>
    </xf>
    <xf numFmtId="17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right"/>
    </xf>
    <xf numFmtId="169" fontId="0" fillId="0" borderId="0" xfId="0" applyNumberFormat="1"/>
    <xf numFmtId="16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70" fontId="0" fillId="0" borderId="0" xfId="0" applyNumberFormat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55"/>
  <sheetViews>
    <sheetView tabSelected="1" view="pageLayout" topLeftCell="E1" workbookViewId="0">
      <selection activeCell="T2" sqref="T2"/>
    </sheetView>
  </sheetViews>
  <sheetFormatPr baseColWidth="10" defaultRowHeight="13"/>
  <cols>
    <col min="1" max="1" width="5.85546875" customWidth="1"/>
    <col min="2" max="2" width="7.140625" customWidth="1"/>
    <col min="4" max="5" width="10.28515625" style="2" customWidth="1"/>
    <col min="6" max="6" width="10.85546875" style="2" customWidth="1"/>
    <col min="7" max="7" width="15.42578125" style="2" customWidth="1"/>
    <col min="8" max="8" width="5.140625" customWidth="1"/>
    <col min="9" max="9" width="7.85546875" customWidth="1"/>
    <col min="10" max="10" width="7.85546875" style="3" customWidth="1"/>
    <col min="11" max="11" width="7" style="3" customWidth="1"/>
    <col min="12" max="12" width="10.7109375" style="3"/>
    <col min="17" max="17" width="11.85546875" bestFit="1" customWidth="1"/>
    <col min="19" max="19" width="11.85546875" bestFit="1" customWidth="1"/>
    <col min="20" max="20" width="6.85546875" customWidth="1"/>
    <col min="24" max="24" width="8.7109375" style="8" customWidth="1"/>
    <col min="26" max="27" width="11.85546875" bestFit="1" customWidth="1"/>
  </cols>
  <sheetData>
    <row r="1" spans="1:33" ht="91">
      <c r="A1" t="s">
        <v>28</v>
      </c>
      <c r="B1" s="8" t="s">
        <v>46</v>
      </c>
      <c r="C1" s="8" t="s">
        <v>47</v>
      </c>
      <c r="D1" s="6" t="s">
        <v>48</v>
      </c>
      <c r="E1" s="2" t="s">
        <v>29</v>
      </c>
      <c r="F1" s="6" t="s">
        <v>36</v>
      </c>
      <c r="G1" s="6" t="s">
        <v>37</v>
      </c>
      <c r="H1" t="s">
        <v>28</v>
      </c>
      <c r="I1" s="6" t="s">
        <v>16</v>
      </c>
      <c r="J1" s="3" t="s">
        <v>31</v>
      </c>
      <c r="K1" s="3" t="s">
        <v>30</v>
      </c>
      <c r="L1" s="3" t="s">
        <v>32</v>
      </c>
      <c r="M1" s="2" t="s">
        <v>33</v>
      </c>
      <c r="N1" s="2" t="s">
        <v>34</v>
      </c>
      <c r="O1" s="3" t="s">
        <v>35</v>
      </c>
      <c r="P1" s="10" t="s">
        <v>54</v>
      </c>
      <c r="Q1" s="8" t="s">
        <v>53</v>
      </c>
      <c r="R1" t="s">
        <v>55</v>
      </c>
      <c r="S1" t="s">
        <v>56</v>
      </c>
      <c r="T1" s="8" t="s">
        <v>15</v>
      </c>
      <c r="U1" s="8" t="s">
        <v>61</v>
      </c>
      <c r="V1" s="8" t="s">
        <v>63</v>
      </c>
      <c r="W1" s="8" t="s">
        <v>57</v>
      </c>
      <c r="X1" s="8" t="s">
        <v>58</v>
      </c>
      <c r="Y1" s="8" t="s">
        <v>59</v>
      </c>
      <c r="Z1" s="8" t="s">
        <v>60</v>
      </c>
      <c r="AA1" s="8" t="s">
        <v>62</v>
      </c>
      <c r="AB1" s="8" t="s">
        <v>28</v>
      </c>
      <c r="AC1" s="8" t="s">
        <v>57</v>
      </c>
      <c r="AD1" s="8" t="s">
        <v>68</v>
      </c>
      <c r="AE1" s="8" t="s">
        <v>59</v>
      </c>
      <c r="AF1" s="8" t="s">
        <v>60</v>
      </c>
      <c r="AG1" s="8" t="s">
        <v>62</v>
      </c>
    </row>
    <row r="2" spans="1:33">
      <c r="B2" s="8"/>
      <c r="C2" s="8"/>
      <c r="D2" s="6"/>
      <c r="E2" s="5"/>
      <c r="F2" s="6"/>
      <c r="G2" s="6"/>
      <c r="I2" s="5"/>
      <c r="M2" s="5"/>
      <c r="N2" s="5"/>
      <c r="O2" s="3"/>
      <c r="P2" s="10"/>
      <c r="Q2" s="8"/>
      <c r="T2" s="8"/>
      <c r="V2" s="16">
        <v>28245</v>
      </c>
      <c r="W2" s="13">
        <v>991.75</v>
      </c>
      <c r="AB2" s="16">
        <v>28245</v>
      </c>
      <c r="AC2" s="13">
        <v>991.75</v>
      </c>
      <c r="AD2" s="8"/>
    </row>
    <row r="3" spans="1:33">
      <c r="A3">
        <v>1</v>
      </c>
      <c r="B3" s="1">
        <v>6.3299999999999995E-2</v>
      </c>
      <c r="C3">
        <v>0.109</v>
      </c>
      <c r="D3" s="2">
        <v>214</v>
      </c>
      <c r="E3" s="2">
        <f>D3*12</f>
        <v>2568</v>
      </c>
      <c r="F3" s="2">
        <f>E3</f>
        <v>2568</v>
      </c>
      <c r="G3" s="2">
        <f>(F3+O3)*-1</f>
        <v>-4896</v>
      </c>
      <c r="H3">
        <v>1</v>
      </c>
      <c r="I3" s="2">
        <v>3.88</v>
      </c>
      <c r="J3" s="3">
        <v>1000</v>
      </c>
      <c r="K3" s="3">
        <f>J3*12</f>
        <v>12000</v>
      </c>
      <c r="L3" s="3">
        <v>20</v>
      </c>
      <c r="M3" s="4">
        <f>J3/L3*I3</f>
        <v>194</v>
      </c>
      <c r="N3" s="4">
        <f>M3*12</f>
        <v>2328</v>
      </c>
      <c r="O3" s="4">
        <f>N3</f>
        <v>2328</v>
      </c>
      <c r="P3">
        <v>1</v>
      </c>
      <c r="Q3" s="11">
        <v>75000</v>
      </c>
      <c r="R3" s="11">
        <f>Q3*T3</f>
        <v>2715</v>
      </c>
      <c r="S3" s="11">
        <f>Q3+R3</f>
        <v>77715</v>
      </c>
      <c r="T3" s="14">
        <v>3.6200000000000003E-2</v>
      </c>
      <c r="U3" s="12">
        <f>S3-N3-E3</f>
        <v>72819</v>
      </c>
      <c r="V3" s="16">
        <v>28610</v>
      </c>
      <c r="W3" s="13">
        <v>819.54</v>
      </c>
      <c r="X3" s="15">
        <f>(W3/W2)-1</f>
        <v>-0.17364255104613058</v>
      </c>
      <c r="Y3" s="12">
        <f>Q3*X3</f>
        <v>-13023.191328459794</v>
      </c>
      <c r="Z3" s="12">
        <f>Q3+Y3</f>
        <v>61976.808671540202</v>
      </c>
      <c r="AA3" s="12">
        <f>Z3-N3-E3</f>
        <v>57080.808671540202</v>
      </c>
      <c r="AB3" s="16">
        <v>28610</v>
      </c>
      <c r="AC3" s="13">
        <v>819.54</v>
      </c>
      <c r="AD3" s="15">
        <f>(AC3/AC2)-1-1.5%</f>
        <v>-0.18864255104613059</v>
      </c>
      <c r="AE3" s="12">
        <f>Q3*AD3</f>
        <v>-14148.191328459794</v>
      </c>
      <c r="AF3" s="12">
        <f>Q3+AE3</f>
        <v>60851.808671540202</v>
      </c>
      <c r="AG3" s="12">
        <f>AF3-T3-K3</f>
        <v>48851.7724715402</v>
      </c>
    </row>
    <row r="4" spans="1:33">
      <c r="A4">
        <v>2</v>
      </c>
      <c r="B4" s="1">
        <f>B3</f>
        <v>6.3299999999999995E-2</v>
      </c>
      <c r="C4">
        <f>C3+(C3*B3)</f>
        <v>0.11589969999999999</v>
      </c>
      <c r="D4" s="2">
        <f>D3+(D3*B3)</f>
        <v>227.5462</v>
      </c>
      <c r="E4" s="2">
        <f>D4*12</f>
        <v>2730.5544</v>
      </c>
      <c r="F4" s="2">
        <f>F3+E4</f>
        <v>5298.5544</v>
      </c>
      <c r="G4" s="2">
        <f t="shared" ref="G4:G32" si="0">(F4+O4)*-1</f>
        <v>-10101.916799999999</v>
      </c>
      <c r="H4">
        <v>2</v>
      </c>
      <c r="I4" s="4">
        <f>I3+(B3*I3)</f>
        <v>4.125604</v>
      </c>
      <c r="J4" s="3">
        <f>J3</f>
        <v>1000</v>
      </c>
      <c r="K4" s="3">
        <f>K3</f>
        <v>12000</v>
      </c>
      <c r="L4" s="3">
        <v>20</v>
      </c>
      <c r="M4" s="4">
        <f>J4/L4*I4</f>
        <v>206.28020000000001</v>
      </c>
      <c r="N4" s="4">
        <f>M4*12</f>
        <v>2475.3624</v>
      </c>
      <c r="O4" s="5">
        <f>O3+N4</f>
        <v>4803.3624</v>
      </c>
      <c r="P4">
        <v>2</v>
      </c>
      <c r="Q4" s="11">
        <f>S3</f>
        <v>77715</v>
      </c>
      <c r="R4" s="11">
        <f>Q4*T4</f>
        <v>2813.2830000000004</v>
      </c>
      <c r="S4" s="11">
        <f>Q4+R4</f>
        <v>80528.282999999996</v>
      </c>
      <c r="T4" s="14">
        <f>T3</f>
        <v>3.6200000000000003E-2</v>
      </c>
      <c r="U4" s="12">
        <f>U3+(U3*T4)-N4-E4</f>
        <v>70249.131000000008</v>
      </c>
      <c r="V4" s="16">
        <v>28975</v>
      </c>
      <c r="W4" s="13">
        <v>1199.98</v>
      </c>
      <c r="X4" s="15">
        <f>(W4/W3)-1</f>
        <v>0.46421163091490358</v>
      </c>
      <c r="Y4" s="12">
        <f>Z3*X4</f>
        <v>28770.355432316617</v>
      </c>
      <c r="Z4" s="12">
        <f>Z3+Y4</f>
        <v>90747.16410385682</v>
      </c>
      <c r="AA4" s="12">
        <f>AA3+(AA3*X4)-N4-E4</f>
        <v>78372.46715889746</v>
      </c>
      <c r="AB4" s="16">
        <v>28975</v>
      </c>
      <c r="AC4" s="13">
        <v>1199.98</v>
      </c>
      <c r="AD4" s="15">
        <f t="shared" ref="AD4:AD32" si="1">(AC4/AC3)-1-1.5%</f>
        <v>0.44921163091490357</v>
      </c>
      <c r="AE4" s="12">
        <f>AF3*AD4</f>
        <v>27335.340217464247</v>
      </c>
      <c r="AF4" s="12">
        <f>AF3+AE4</f>
        <v>88187.148889004457</v>
      </c>
      <c r="AG4" s="12">
        <f>AG3+(AG3*AD4)-T4-K4</f>
        <v>58796.520656564564</v>
      </c>
    </row>
    <row r="5" spans="1:33">
      <c r="A5">
        <v>3</v>
      </c>
      <c r="B5" s="1">
        <f>B4</f>
        <v>6.3299999999999995E-2</v>
      </c>
      <c r="C5">
        <f>C4+(C4*B4)</f>
        <v>0.12323615100999999</v>
      </c>
      <c r="D5" s="2">
        <f>D4+(D4*B4)</f>
        <v>241.94987445999999</v>
      </c>
      <c r="E5" s="2">
        <f>D5*12</f>
        <v>2903.3984935199996</v>
      </c>
      <c r="F5" s="2">
        <f>F4+E5</f>
        <v>8201.9528935199996</v>
      </c>
      <c r="G5" s="2">
        <f t="shared" si="0"/>
        <v>-15637.368133439999</v>
      </c>
      <c r="H5">
        <v>3</v>
      </c>
      <c r="I5" s="4">
        <f>I4+(B4*I4)</f>
        <v>4.3867547332000001</v>
      </c>
      <c r="J5" s="3">
        <f t="shared" ref="J5:J32" si="2">J4</f>
        <v>1000</v>
      </c>
      <c r="K5" s="3">
        <f t="shared" ref="K5:K32" si="3">K4</f>
        <v>12000</v>
      </c>
      <c r="L5" s="3">
        <v>20</v>
      </c>
      <c r="M5" s="4">
        <f>J5/L5*I5</f>
        <v>219.33773666000002</v>
      </c>
      <c r="N5" s="4">
        <f>M5*12</f>
        <v>2632.0528399200002</v>
      </c>
      <c r="O5" s="5">
        <f>O4+N5</f>
        <v>7435.4152399200002</v>
      </c>
      <c r="P5">
        <v>3</v>
      </c>
      <c r="Q5" s="11">
        <f>S4</f>
        <v>80528.282999999996</v>
      </c>
      <c r="R5" s="11">
        <f>Q5*T5</f>
        <v>2915.1238446000002</v>
      </c>
      <c r="S5" s="11">
        <f>Q5+R5</f>
        <v>83443.406844600002</v>
      </c>
      <c r="T5" s="14">
        <f t="shared" ref="T5:T32" si="4">T4</f>
        <v>3.6200000000000003E-2</v>
      </c>
      <c r="U5" s="12">
        <f t="shared" ref="U5:U32" si="5">U4+(U4*T5)-N5-E5</f>
        <v>67256.698208760019</v>
      </c>
      <c r="V5" s="16">
        <v>29341</v>
      </c>
      <c r="W5" s="13">
        <v>1104.8499999999999</v>
      </c>
      <c r="X5" s="15">
        <f>(W5/W4)-1</f>
        <v>-7.9276321272021333E-2</v>
      </c>
      <c r="Y5" s="12">
        <f t="shared" ref="Y5:Y32" si="6">Z4*X5</f>
        <v>-7194.101336022195</v>
      </c>
      <c r="Z5" s="12">
        <f t="shared" ref="Z5:Z32" si="7">Z4+Y5</f>
        <v>83553.062767834621</v>
      </c>
      <c r="AA5" s="12">
        <f t="shared" ref="AA5:AA32" si="8">AA4+(AA4*X5)-N5-E5</f>
        <v>66623.934940087769</v>
      </c>
      <c r="AB5" s="16">
        <v>29341</v>
      </c>
      <c r="AC5" s="13">
        <v>1104.8499999999999</v>
      </c>
      <c r="AD5" s="15">
        <f t="shared" si="1"/>
        <v>-9.4276321272021332E-2</v>
      </c>
      <c r="AE5" s="12">
        <f t="shared" ref="AE5:AE32" si="9">AF4*AD5</f>
        <v>-8313.9599807233626</v>
      </c>
      <c r="AF5" s="12">
        <f t="shared" ref="AF5:AF32" si="10">AF4+AE5</f>
        <v>79873.188908281096</v>
      </c>
      <c r="AG5" s="12">
        <f t="shared" ref="AG5:AG32" si="11">AG4+(AG4*AD5)-T5-K5</f>
        <v>41253.364785469239</v>
      </c>
    </row>
    <row r="6" spans="1:33">
      <c r="A6">
        <v>4</v>
      </c>
      <c r="B6" s="1">
        <f>B5</f>
        <v>6.3299999999999995E-2</v>
      </c>
      <c r="C6">
        <f>C5+(C5*B5)</f>
        <v>0.13103699936893298</v>
      </c>
      <c r="D6" s="2">
        <f>D5+(D5*B5)</f>
        <v>257.26530151331798</v>
      </c>
      <c r="E6" s="2">
        <f>D6*12</f>
        <v>3087.1836181598155</v>
      </c>
      <c r="F6" s="2">
        <f>F5+E6</f>
        <v>11289.136511679815</v>
      </c>
      <c r="G6" s="2">
        <f t="shared" si="0"/>
        <v>-21523.213536286752</v>
      </c>
      <c r="H6">
        <v>4</v>
      </c>
      <c r="I6" s="4">
        <f t="shared" ref="I6:I32" si="12">I5+(B5*I5)</f>
        <v>4.6644363078115605</v>
      </c>
      <c r="J6" s="3">
        <f t="shared" si="2"/>
        <v>1000</v>
      </c>
      <c r="K6" s="3">
        <f t="shared" si="3"/>
        <v>12000</v>
      </c>
      <c r="L6" s="3">
        <v>20</v>
      </c>
      <c r="M6" s="4">
        <f t="shared" ref="M6:M32" si="13">J6/L6*I6</f>
        <v>233.22181539057803</v>
      </c>
      <c r="N6" s="4">
        <f t="shared" ref="N6:N32" si="14">M6*12</f>
        <v>2798.6617846869362</v>
      </c>
      <c r="O6" s="5">
        <f t="shared" ref="O6:O32" si="15">O5+N6</f>
        <v>10234.077024606937</v>
      </c>
      <c r="P6">
        <v>4</v>
      </c>
      <c r="Q6" s="11">
        <f t="shared" ref="Q6:Q32" si="16">S5</f>
        <v>83443.406844600002</v>
      </c>
      <c r="R6" s="11">
        <f t="shared" ref="R6:R32" si="17">Q6*T6</f>
        <v>3020.6513277745203</v>
      </c>
      <c r="S6" s="11">
        <f t="shared" ref="S6:S32" si="18">Q6+R6</f>
        <v>86464.058172374527</v>
      </c>
      <c r="T6" s="14">
        <f t="shared" si="4"/>
        <v>3.6200000000000003E-2</v>
      </c>
      <c r="U6" s="12">
        <f t="shared" si="5"/>
        <v>63805.545281070372</v>
      </c>
      <c r="V6" s="16">
        <v>29706</v>
      </c>
      <c r="W6" s="13">
        <v>1315.41</v>
      </c>
      <c r="X6" s="15">
        <f t="shared" ref="X6:X32" si="19">(W6/W5)-1</f>
        <v>0.19057790650314543</v>
      </c>
      <c r="Y6" s="12">
        <f t="shared" si="6"/>
        <v>15923.367784219829</v>
      </c>
      <c r="Z6" s="12">
        <f t="shared" si="7"/>
        <v>99476.430552054444</v>
      </c>
      <c r="AA6" s="12">
        <f t="shared" si="8"/>
        <v>73435.139581124706</v>
      </c>
      <c r="AB6" s="16">
        <v>29706</v>
      </c>
      <c r="AC6" s="13">
        <v>1315.41</v>
      </c>
      <c r="AD6" s="15">
        <f t="shared" si="1"/>
        <v>0.17557790650314542</v>
      </c>
      <c r="AE6" s="12">
        <f t="shared" si="9"/>
        <v>14023.967294246249</v>
      </c>
      <c r="AF6" s="12">
        <f t="shared" si="10"/>
        <v>93897.156202527345</v>
      </c>
      <c r="AG6" s="12">
        <f t="shared" si="11"/>
        <v>36496.50801071251</v>
      </c>
    </row>
    <row r="7" spans="1:33">
      <c r="A7">
        <v>5</v>
      </c>
      <c r="B7" s="1">
        <f>B6</f>
        <v>6.3299999999999995E-2</v>
      </c>
      <c r="C7">
        <f>C6+(C6*B6)</f>
        <v>0.13933164142898644</v>
      </c>
      <c r="D7" s="2">
        <f>D6+(D6*B6)</f>
        <v>273.55019509911102</v>
      </c>
      <c r="E7" s="2">
        <f>D7*12</f>
        <v>3282.602341189332</v>
      </c>
      <c r="F7" s="2">
        <f>F6+E7</f>
        <v>14571.738852869148</v>
      </c>
      <c r="G7" s="2">
        <f t="shared" si="0"/>
        <v>-27781.632953133703</v>
      </c>
      <c r="H7">
        <v>5</v>
      </c>
      <c r="I7" s="4">
        <f t="shared" si="12"/>
        <v>4.9596951260960322</v>
      </c>
      <c r="J7" s="3">
        <f t="shared" si="2"/>
        <v>1000</v>
      </c>
      <c r="K7" s="3">
        <f t="shared" si="3"/>
        <v>12000</v>
      </c>
      <c r="L7" s="3">
        <v>20</v>
      </c>
      <c r="M7" s="4">
        <f t="shared" si="13"/>
        <v>247.98475630480161</v>
      </c>
      <c r="N7" s="4">
        <f t="shared" si="14"/>
        <v>2975.8170756576192</v>
      </c>
      <c r="O7" s="5">
        <f t="shared" si="15"/>
        <v>13209.894100264555</v>
      </c>
      <c r="P7">
        <v>5</v>
      </c>
      <c r="Q7" s="11">
        <f t="shared" si="16"/>
        <v>86464.058172374527</v>
      </c>
      <c r="R7" s="11">
        <f t="shared" si="17"/>
        <v>3129.9989058399583</v>
      </c>
      <c r="S7" s="11">
        <f t="shared" si="18"/>
        <v>89594.057078214479</v>
      </c>
      <c r="T7" s="14">
        <f t="shared" si="4"/>
        <v>3.6200000000000003E-2</v>
      </c>
      <c r="U7" s="12">
        <f t="shared" si="5"/>
        <v>59856.886603398161</v>
      </c>
      <c r="V7" s="16">
        <v>30071</v>
      </c>
      <c r="W7" s="13">
        <v>1876.71</v>
      </c>
      <c r="X7" s="15">
        <f t="shared" si="19"/>
        <v>0.42671106347070498</v>
      </c>
      <c r="Y7" s="12">
        <f t="shared" si="6"/>
        <v>42447.693471136881</v>
      </c>
      <c r="Z7" s="12">
        <f t="shared" si="7"/>
        <v>141924.12402319134</v>
      </c>
      <c r="AA7" s="12">
        <f t="shared" si="8"/>
        <v>98512.306671059152</v>
      </c>
      <c r="AB7" s="16">
        <v>30071</v>
      </c>
      <c r="AC7" s="13">
        <v>1876.71</v>
      </c>
      <c r="AD7" s="15">
        <f t="shared" si="1"/>
        <v>0.41171106347070496</v>
      </c>
      <c r="AE7" s="12">
        <f t="shared" si="9"/>
        <v>38658.498037017431</v>
      </c>
      <c r="AF7" s="12">
        <f t="shared" si="10"/>
        <v>132555.65423954476</v>
      </c>
      <c r="AG7" s="12">
        <f t="shared" si="11"/>
        <v>39522.487936770056</v>
      </c>
    </row>
    <row r="8" spans="1:33">
      <c r="A8">
        <v>6</v>
      </c>
      <c r="B8" s="1">
        <f t="shared" ref="B8:B32" si="20">B7</f>
        <v>6.3299999999999995E-2</v>
      </c>
      <c r="C8">
        <f t="shared" ref="C8:C32" si="21">C7+(C7*B7)</f>
        <v>0.14815133433144129</v>
      </c>
      <c r="D8" s="2">
        <f t="shared" ref="D8:D32" si="22">D7+(D7*B7)</f>
        <v>290.86592244888476</v>
      </c>
      <c r="E8" s="2">
        <f t="shared" ref="E8:E32" si="23">D8*12</f>
        <v>3490.3910693866173</v>
      </c>
      <c r="F8" s="2">
        <f t="shared" ref="F8:F32" si="24">F7+E8</f>
        <v>18062.129922255765</v>
      </c>
      <c r="G8" s="2">
        <f t="shared" si="0"/>
        <v>-34436.210319067068</v>
      </c>
      <c r="H8">
        <v>6</v>
      </c>
      <c r="I8" s="4">
        <f t="shared" si="12"/>
        <v>5.2736438275779109</v>
      </c>
      <c r="J8" s="3">
        <f t="shared" si="2"/>
        <v>1000</v>
      </c>
      <c r="K8" s="3">
        <f t="shared" si="3"/>
        <v>12000</v>
      </c>
      <c r="L8" s="3">
        <v>20</v>
      </c>
      <c r="M8" s="4">
        <f t="shared" si="13"/>
        <v>263.68219137889554</v>
      </c>
      <c r="N8" s="4">
        <f t="shared" si="14"/>
        <v>3164.1862965467462</v>
      </c>
      <c r="O8" s="5">
        <f t="shared" si="15"/>
        <v>16374.080396811301</v>
      </c>
      <c r="P8">
        <v>6</v>
      </c>
      <c r="Q8" s="11">
        <f t="shared" si="16"/>
        <v>89594.057078214479</v>
      </c>
      <c r="R8" s="11">
        <f t="shared" si="17"/>
        <v>3243.3048662313645</v>
      </c>
      <c r="S8" s="11">
        <f t="shared" si="18"/>
        <v>92837.361944445845</v>
      </c>
      <c r="T8" s="14">
        <f t="shared" si="4"/>
        <v>3.6200000000000003E-2</v>
      </c>
      <c r="U8" s="12">
        <f t="shared" si="5"/>
        <v>55369.128532507813</v>
      </c>
      <c r="V8" s="16">
        <v>30436</v>
      </c>
      <c r="W8" s="13">
        <v>2291.5700000000002</v>
      </c>
      <c r="X8" s="15">
        <f t="shared" si="19"/>
        <v>0.22105706262555214</v>
      </c>
      <c r="Y8" s="12">
        <f t="shared" si="6"/>
        <v>31373.329972271236</v>
      </c>
      <c r="Z8" s="12">
        <f t="shared" si="7"/>
        <v>173297.45399546257</v>
      </c>
      <c r="AA8" s="12">
        <f t="shared" si="8"/>
        <v>113634.5704502977</v>
      </c>
      <c r="AB8" s="16">
        <v>30436</v>
      </c>
      <c r="AC8" s="13">
        <v>2291.5700000000002</v>
      </c>
      <c r="AD8" s="15">
        <f t="shared" si="1"/>
        <v>0.20605706262555212</v>
      </c>
      <c r="AE8" s="12">
        <f t="shared" si="9"/>
        <v>27314.02874700891</v>
      </c>
      <c r="AF8" s="12">
        <f t="shared" si="10"/>
        <v>159869.68298655367</v>
      </c>
      <c r="AG8" s="12">
        <f t="shared" si="11"/>
        <v>35666.339508674711</v>
      </c>
    </row>
    <row r="9" spans="1:33">
      <c r="A9">
        <v>7</v>
      </c>
      <c r="B9" s="1">
        <f t="shared" si="20"/>
        <v>6.3299999999999995E-2</v>
      </c>
      <c r="C9">
        <f t="shared" si="21"/>
        <v>0.15752931379462151</v>
      </c>
      <c r="D9" s="2">
        <f t="shared" si="22"/>
        <v>309.27773533989915</v>
      </c>
      <c r="E9" s="2">
        <f t="shared" si="23"/>
        <v>3711.3328240787896</v>
      </c>
      <c r="F9" s="2">
        <f t="shared" si="24"/>
        <v>21773.462746334553</v>
      </c>
      <c r="G9" s="2">
        <f t="shared" si="0"/>
        <v>-41512.022432264013</v>
      </c>
      <c r="H9">
        <v>7</v>
      </c>
      <c r="I9" s="4">
        <f t="shared" si="12"/>
        <v>5.6074654818635929</v>
      </c>
      <c r="J9" s="3">
        <f t="shared" si="2"/>
        <v>1000</v>
      </c>
      <c r="K9" s="3">
        <f t="shared" si="3"/>
        <v>12000</v>
      </c>
      <c r="L9" s="3">
        <v>20</v>
      </c>
      <c r="M9" s="4">
        <f t="shared" si="13"/>
        <v>280.37327409317965</v>
      </c>
      <c r="N9" s="4">
        <f t="shared" si="14"/>
        <v>3364.479289118156</v>
      </c>
      <c r="O9" s="5">
        <f t="shared" si="15"/>
        <v>19738.559685929456</v>
      </c>
      <c r="P9">
        <v>7</v>
      </c>
      <c r="Q9" s="11">
        <f t="shared" si="16"/>
        <v>92837.361944445845</v>
      </c>
      <c r="R9" s="11">
        <f t="shared" si="17"/>
        <v>3360.7125023889398</v>
      </c>
      <c r="S9" s="11">
        <f t="shared" si="18"/>
        <v>96198.074446834784</v>
      </c>
      <c r="T9" s="14">
        <f t="shared" si="4"/>
        <v>3.6200000000000003E-2</v>
      </c>
      <c r="U9" s="12">
        <f t="shared" si="5"/>
        <v>50297.678872187651</v>
      </c>
      <c r="V9" s="16">
        <v>30802</v>
      </c>
      <c r="W9" s="13">
        <v>2031.12</v>
      </c>
      <c r="X9" s="15">
        <f t="shared" si="19"/>
        <v>-0.11365570329512087</v>
      </c>
      <c r="Y9" s="12">
        <f t="shared" si="6"/>
        <v>-19696.244013108153</v>
      </c>
      <c r="Z9" s="12">
        <f t="shared" si="7"/>
        <v>153601.20998235443</v>
      </c>
      <c r="AA9" s="12">
        <f t="shared" si="8"/>
        <v>93643.541313933209</v>
      </c>
      <c r="AB9" s="16">
        <v>30802</v>
      </c>
      <c r="AC9" s="13">
        <v>2031.12</v>
      </c>
      <c r="AD9" s="15">
        <f t="shared" si="1"/>
        <v>-0.12865570329512088</v>
      </c>
      <c r="AE9" s="12">
        <f t="shared" si="9"/>
        <v>-20568.146500203085</v>
      </c>
      <c r="AF9" s="12">
        <f t="shared" si="10"/>
        <v>139301.53648635058</v>
      </c>
      <c r="AG9" s="12">
        <f t="shared" si="11"/>
        <v>19077.625315223613</v>
      </c>
    </row>
    <row r="10" spans="1:33">
      <c r="A10">
        <v>8</v>
      </c>
      <c r="B10" s="1">
        <f t="shared" si="20"/>
        <v>6.3299999999999995E-2</v>
      </c>
      <c r="C10">
        <f t="shared" si="21"/>
        <v>0.16750091935782105</v>
      </c>
      <c r="D10" s="2">
        <f t="shared" si="22"/>
        <v>328.85501598691479</v>
      </c>
      <c r="E10" s="2">
        <f t="shared" si="23"/>
        <v>3946.2601918429773</v>
      </c>
      <c r="F10" s="2">
        <f t="shared" si="24"/>
        <v>25719.722938177532</v>
      </c>
      <c r="G10" s="2">
        <f t="shared" si="0"/>
        <v>-49035.733452226326</v>
      </c>
      <c r="H10">
        <v>8</v>
      </c>
      <c r="I10" s="4">
        <f t="shared" si="12"/>
        <v>5.9624180468655581</v>
      </c>
      <c r="J10" s="3">
        <f t="shared" si="2"/>
        <v>1000</v>
      </c>
      <c r="K10" s="3">
        <f t="shared" si="3"/>
        <v>12000</v>
      </c>
      <c r="L10" s="3">
        <v>20</v>
      </c>
      <c r="M10" s="4">
        <f t="shared" si="13"/>
        <v>298.12090234327792</v>
      </c>
      <c r="N10" s="4">
        <f t="shared" si="14"/>
        <v>3577.4508281193348</v>
      </c>
      <c r="O10" s="5">
        <f t="shared" si="15"/>
        <v>23316.01051404879</v>
      </c>
      <c r="P10">
        <v>8</v>
      </c>
      <c r="Q10" s="11">
        <f t="shared" si="16"/>
        <v>96198.074446834784</v>
      </c>
      <c r="R10" s="11">
        <f t="shared" si="17"/>
        <v>3482.3702949754193</v>
      </c>
      <c r="S10" s="11">
        <f t="shared" si="18"/>
        <v>99680.444741810206</v>
      </c>
      <c r="T10" s="14">
        <f t="shared" si="4"/>
        <v>3.6200000000000003E-2</v>
      </c>
      <c r="U10" s="12">
        <f t="shared" si="5"/>
        <v>44594.743827398532</v>
      </c>
      <c r="V10" s="16">
        <v>31167</v>
      </c>
      <c r="W10" s="13">
        <v>2480.15</v>
      </c>
      <c r="X10" s="15">
        <f t="shared" si="19"/>
        <v>0.22107507188152353</v>
      </c>
      <c r="Y10" s="12">
        <f t="shared" si="6"/>
        <v>33957.398537937996</v>
      </c>
      <c r="Z10" s="12">
        <f t="shared" si="7"/>
        <v>187558.60852029242</v>
      </c>
      <c r="AA10" s="12">
        <f t="shared" si="8"/>
        <v>106822.0829211891</v>
      </c>
      <c r="AB10" s="16">
        <v>31167</v>
      </c>
      <c r="AC10" s="13">
        <v>2480.15</v>
      </c>
      <c r="AD10" s="15">
        <f t="shared" si="1"/>
        <v>0.20607507188152352</v>
      </c>
      <c r="AE10" s="12">
        <f t="shared" si="9"/>
        <v>28706.574144631366</v>
      </c>
      <c r="AF10" s="12">
        <f t="shared" si="10"/>
        <v>168008.11063098194</v>
      </c>
      <c r="AG10" s="12">
        <f t="shared" si="11"/>
        <v>11009.012123387092</v>
      </c>
    </row>
    <row r="11" spans="1:33">
      <c r="A11">
        <v>9</v>
      </c>
      <c r="B11" s="1">
        <f t="shared" si="20"/>
        <v>6.3299999999999995E-2</v>
      </c>
      <c r="C11">
        <f t="shared" si="21"/>
        <v>0.17810372755317111</v>
      </c>
      <c r="D11" s="2">
        <f t="shared" si="22"/>
        <v>349.67153849888649</v>
      </c>
      <c r="E11" s="2">
        <f t="shared" si="23"/>
        <v>4196.0584619866377</v>
      </c>
      <c r="F11" s="2">
        <f t="shared" si="24"/>
        <v>29915.781400164171</v>
      </c>
      <c r="G11" s="2">
        <f t="shared" si="0"/>
        <v>-57035.695379752251</v>
      </c>
      <c r="H11">
        <v>9</v>
      </c>
      <c r="I11" s="4">
        <f t="shared" si="12"/>
        <v>6.3398391092321482</v>
      </c>
      <c r="J11" s="3">
        <f t="shared" si="2"/>
        <v>1000</v>
      </c>
      <c r="K11" s="3">
        <f t="shared" si="3"/>
        <v>12000</v>
      </c>
      <c r="L11" s="3">
        <v>20</v>
      </c>
      <c r="M11" s="4">
        <f t="shared" si="13"/>
        <v>316.9919554616074</v>
      </c>
      <c r="N11" s="4">
        <f t="shared" si="14"/>
        <v>3803.9034655392888</v>
      </c>
      <c r="O11" s="5">
        <f t="shared" si="15"/>
        <v>27119.91397958808</v>
      </c>
      <c r="P11">
        <v>9</v>
      </c>
      <c r="Q11" s="11">
        <f t="shared" si="16"/>
        <v>99680.444741810206</v>
      </c>
      <c r="R11" s="11">
        <f t="shared" si="17"/>
        <v>3608.4320996535298</v>
      </c>
      <c r="S11" s="11">
        <f t="shared" si="18"/>
        <v>103288.87684146373</v>
      </c>
      <c r="T11" s="14">
        <f t="shared" si="4"/>
        <v>3.6200000000000003E-2</v>
      </c>
      <c r="U11" s="12">
        <f t="shared" si="5"/>
        <v>38209.111626424434</v>
      </c>
      <c r="V11" s="16">
        <v>31532</v>
      </c>
      <c r="W11" s="13">
        <v>2876.66</v>
      </c>
      <c r="X11" s="15">
        <f t="shared" si="19"/>
        <v>0.15987339475434936</v>
      </c>
      <c r="Y11" s="12">
        <f t="shared" si="6"/>
        <v>29985.631459541182</v>
      </c>
      <c r="Z11" s="12">
        <f t="shared" si="7"/>
        <v>217544.2399798336</v>
      </c>
      <c r="AA11" s="12">
        <f t="shared" si="8"/>
        <v>115900.13002500427</v>
      </c>
      <c r="AB11" s="16">
        <v>31532</v>
      </c>
      <c r="AC11" s="13">
        <v>2876.66</v>
      </c>
      <c r="AD11" s="15">
        <f t="shared" si="1"/>
        <v>0.14487339475434935</v>
      </c>
      <c r="AE11" s="12">
        <f t="shared" si="9"/>
        <v>24339.905333374645</v>
      </c>
      <c r="AF11" s="12">
        <f t="shared" si="10"/>
        <v>192348.0159643566</v>
      </c>
      <c r="AG11" s="12">
        <f t="shared" si="11"/>
        <v>603.88888259396845</v>
      </c>
    </row>
    <row r="12" spans="1:33">
      <c r="A12">
        <v>10</v>
      </c>
      <c r="B12" s="1">
        <f t="shared" si="20"/>
        <v>6.3299999999999995E-2</v>
      </c>
      <c r="C12">
        <f t="shared" si="21"/>
        <v>0.18937769350728684</v>
      </c>
      <c r="D12" s="2">
        <f t="shared" si="22"/>
        <v>371.80574688586603</v>
      </c>
      <c r="E12" s="2">
        <f t="shared" si="23"/>
        <v>4461.6689626303923</v>
      </c>
      <c r="F12" s="2">
        <f t="shared" si="24"/>
        <v>34377.450362794567</v>
      </c>
      <c r="G12" s="2">
        <f t="shared" si="0"/>
        <v>-65542.054897290567</v>
      </c>
      <c r="H12">
        <v>10</v>
      </c>
      <c r="I12" s="4">
        <f t="shared" si="12"/>
        <v>6.7411509248465435</v>
      </c>
      <c r="J12" s="3">
        <f t="shared" si="2"/>
        <v>1000</v>
      </c>
      <c r="K12" s="3">
        <f t="shared" si="3"/>
        <v>12000</v>
      </c>
      <c r="L12" s="3">
        <v>20</v>
      </c>
      <c r="M12" s="4">
        <f t="shared" si="13"/>
        <v>337.05754624232719</v>
      </c>
      <c r="N12" s="4">
        <f t="shared" si="14"/>
        <v>4044.6905549079265</v>
      </c>
      <c r="O12" s="5">
        <f t="shared" si="15"/>
        <v>31164.604534496008</v>
      </c>
      <c r="P12">
        <v>10</v>
      </c>
      <c r="Q12" s="11">
        <f t="shared" si="16"/>
        <v>103288.87684146373</v>
      </c>
      <c r="R12" s="11">
        <f t="shared" si="17"/>
        <v>3739.0573416609873</v>
      </c>
      <c r="S12" s="11">
        <f t="shared" si="18"/>
        <v>107027.93418312471</v>
      </c>
      <c r="T12" s="14">
        <f t="shared" si="4"/>
        <v>3.6200000000000003E-2</v>
      </c>
      <c r="U12" s="12">
        <f t="shared" si="5"/>
        <v>31085.921949762684</v>
      </c>
      <c r="V12" s="16">
        <v>31897</v>
      </c>
      <c r="W12" s="13">
        <v>3027.5</v>
      </c>
      <c r="X12" s="15">
        <f t="shared" si="19"/>
        <v>5.2435810975228314E-2</v>
      </c>
      <c r="Y12" s="12">
        <f t="shared" si="6"/>
        <v>11407.108646332261</v>
      </c>
      <c r="Z12" s="12">
        <f t="shared" si="7"/>
        <v>228951.34862616585</v>
      </c>
      <c r="AA12" s="12">
        <f t="shared" si="8"/>
        <v>113471.08781746146</v>
      </c>
      <c r="AB12" s="16">
        <v>31897</v>
      </c>
      <c r="AC12" s="13">
        <v>3027.5</v>
      </c>
      <c r="AD12" s="15">
        <f t="shared" si="1"/>
        <v>3.7435810975228315E-2</v>
      </c>
      <c r="AE12" s="12">
        <f t="shared" si="9"/>
        <v>7200.703967101852</v>
      </c>
      <c r="AF12" s="12">
        <f t="shared" si="10"/>
        <v>199548.71993145844</v>
      </c>
      <c r="AG12" s="12">
        <f t="shared" si="11"/>
        <v>-11373.540247347202</v>
      </c>
    </row>
    <row r="13" spans="1:33">
      <c r="A13">
        <v>11</v>
      </c>
      <c r="B13" s="1">
        <f t="shared" si="20"/>
        <v>6.3299999999999995E-2</v>
      </c>
      <c r="C13">
        <f t="shared" si="21"/>
        <v>0.20136530150629808</v>
      </c>
      <c r="D13" s="2">
        <f t="shared" si="22"/>
        <v>395.34105066374133</v>
      </c>
      <c r="E13" s="2">
        <f t="shared" si="23"/>
        <v>4744.0926079648962</v>
      </c>
      <c r="F13" s="2">
        <f t="shared" si="24"/>
        <v>39121.542970759459</v>
      </c>
      <c r="G13" s="2">
        <f t="shared" si="0"/>
        <v>-74586.866972289063</v>
      </c>
      <c r="H13">
        <v>11</v>
      </c>
      <c r="I13" s="4">
        <f t="shared" si="12"/>
        <v>7.1678657783893298</v>
      </c>
      <c r="J13" s="3">
        <f t="shared" si="2"/>
        <v>1000</v>
      </c>
      <c r="K13" s="3">
        <f t="shared" si="3"/>
        <v>12000</v>
      </c>
      <c r="L13" s="3">
        <v>20</v>
      </c>
      <c r="M13" s="4">
        <f t="shared" si="13"/>
        <v>358.3932889194665</v>
      </c>
      <c r="N13" s="4">
        <f t="shared" si="14"/>
        <v>4300.7194670335975</v>
      </c>
      <c r="O13" s="5">
        <f t="shared" si="15"/>
        <v>35465.324001529603</v>
      </c>
      <c r="P13">
        <v>11</v>
      </c>
      <c r="Q13" s="11">
        <f t="shared" si="16"/>
        <v>107027.93418312471</v>
      </c>
      <c r="R13" s="11">
        <f t="shared" si="17"/>
        <v>3874.4112174291149</v>
      </c>
      <c r="S13" s="11">
        <f t="shared" si="18"/>
        <v>110902.34540055384</v>
      </c>
      <c r="T13" s="14">
        <f t="shared" si="4"/>
        <v>3.6200000000000003E-2</v>
      </c>
      <c r="U13" s="12">
        <f t="shared" si="5"/>
        <v>23166.4202493456</v>
      </c>
      <c r="V13" s="16">
        <v>32263</v>
      </c>
      <c r="W13" s="13">
        <v>3396.88</v>
      </c>
      <c r="X13" s="15">
        <f t="shared" si="19"/>
        <v>0.12200825763831546</v>
      </c>
      <c r="Y13" s="12">
        <f t="shared" si="6"/>
        <v>27933.955129821028</v>
      </c>
      <c r="Z13" s="12">
        <f t="shared" si="7"/>
        <v>256885.30375598688</v>
      </c>
      <c r="AA13" s="12">
        <f t="shared" si="8"/>
        <v>118270.68545939573</v>
      </c>
      <c r="AB13" s="16">
        <v>32263</v>
      </c>
      <c r="AC13" s="13">
        <v>3396.88</v>
      </c>
      <c r="AD13" s="15">
        <f t="shared" si="1"/>
        <v>0.10700825763831547</v>
      </c>
      <c r="AE13" s="12">
        <f t="shared" si="9"/>
        <v>21353.36083382156</v>
      </c>
      <c r="AF13" s="12">
        <f t="shared" si="10"/>
        <v>220902.08076528</v>
      </c>
      <c r="AG13" s="12">
        <f t="shared" si="11"/>
        <v>-24590.63917239508</v>
      </c>
    </row>
    <row r="14" spans="1:33">
      <c r="A14">
        <v>12</v>
      </c>
      <c r="B14" s="1">
        <f t="shared" si="20"/>
        <v>6.3299999999999995E-2</v>
      </c>
      <c r="C14">
        <f t="shared" si="21"/>
        <v>0.21411172509164675</v>
      </c>
      <c r="D14" s="2">
        <f t="shared" si="22"/>
        <v>420.36613917075613</v>
      </c>
      <c r="E14" s="2">
        <f t="shared" si="23"/>
        <v>5044.393670049074</v>
      </c>
      <c r="F14" s="2">
        <f t="shared" si="24"/>
        <v>44165.936640808533</v>
      </c>
      <c r="G14" s="2">
        <f t="shared" si="0"/>
        <v>-84204.215651634964</v>
      </c>
      <c r="H14">
        <v>12</v>
      </c>
      <c r="I14" s="4">
        <f t="shared" si="12"/>
        <v>7.6215916821613741</v>
      </c>
      <c r="J14" s="3">
        <f t="shared" si="2"/>
        <v>1000</v>
      </c>
      <c r="K14" s="3">
        <f t="shared" si="3"/>
        <v>12000</v>
      </c>
      <c r="L14" s="3">
        <v>20</v>
      </c>
      <c r="M14" s="4">
        <f t="shared" si="13"/>
        <v>381.07958410806873</v>
      </c>
      <c r="N14" s="4">
        <f t="shared" si="14"/>
        <v>4572.9550092968248</v>
      </c>
      <c r="O14" s="5">
        <f t="shared" si="15"/>
        <v>40038.279010826431</v>
      </c>
      <c r="P14">
        <v>12</v>
      </c>
      <c r="Q14" s="11">
        <f t="shared" si="16"/>
        <v>110902.34540055384</v>
      </c>
      <c r="R14" s="11">
        <f t="shared" si="17"/>
        <v>4014.6649035000491</v>
      </c>
      <c r="S14" s="11">
        <f t="shared" si="18"/>
        <v>114917.01030405388</v>
      </c>
      <c r="T14" s="14">
        <f t="shared" si="4"/>
        <v>3.6200000000000003E-2</v>
      </c>
      <c r="U14" s="12">
        <f t="shared" si="5"/>
        <v>14387.695983026013</v>
      </c>
      <c r="V14" s="16">
        <v>32628</v>
      </c>
      <c r="W14" s="13">
        <v>3527.43</v>
      </c>
      <c r="X14" s="15">
        <f t="shared" si="19"/>
        <v>3.8432326134570483E-2</v>
      </c>
      <c r="Y14" s="12">
        <f t="shared" si="6"/>
        <v>9872.6997731282918</v>
      </c>
      <c r="Z14" s="12">
        <f t="shared" si="7"/>
        <v>266758.00352911517</v>
      </c>
      <c r="AA14" s="12">
        <f t="shared" si="8"/>
        <v>113198.75433578453</v>
      </c>
      <c r="AB14" s="16">
        <v>32628</v>
      </c>
      <c r="AC14" s="13">
        <v>3527.43</v>
      </c>
      <c r="AD14" s="15">
        <f t="shared" si="1"/>
        <v>2.3432326134570483E-2</v>
      </c>
      <c r="AE14" s="12">
        <f t="shared" si="9"/>
        <v>5176.2496002972703</v>
      </c>
      <c r="AF14" s="12">
        <f t="shared" si="10"/>
        <v>226078.33036557728</v>
      </c>
      <c r="AG14" s="12">
        <f t="shared" si="11"/>
        <v>-37166.891249340188</v>
      </c>
    </row>
    <row r="15" spans="1:33">
      <c r="A15">
        <v>13</v>
      </c>
      <c r="B15" s="1">
        <f t="shared" si="20"/>
        <v>6.3299999999999995E-2</v>
      </c>
      <c r="C15">
        <f t="shared" si="21"/>
        <v>0.22766499728994799</v>
      </c>
      <c r="D15" s="2">
        <f t="shared" si="22"/>
        <v>446.97531578026496</v>
      </c>
      <c r="E15" s="2">
        <f t="shared" si="23"/>
        <v>5363.7037893631796</v>
      </c>
      <c r="F15" s="2">
        <f t="shared" si="24"/>
        <v>49529.640430171712</v>
      </c>
      <c r="G15" s="2">
        <f t="shared" si="0"/>
        <v>-94430.342502383457</v>
      </c>
      <c r="H15">
        <v>13</v>
      </c>
      <c r="I15" s="4">
        <f t="shared" si="12"/>
        <v>8.1040384356421882</v>
      </c>
      <c r="J15" s="3">
        <f t="shared" si="2"/>
        <v>1000</v>
      </c>
      <c r="K15" s="3">
        <f t="shared" si="3"/>
        <v>12000</v>
      </c>
      <c r="L15" s="3">
        <v>20</v>
      </c>
      <c r="M15" s="4">
        <f t="shared" si="13"/>
        <v>405.20192178210942</v>
      </c>
      <c r="N15" s="4">
        <f t="shared" si="14"/>
        <v>4862.4230613853133</v>
      </c>
      <c r="O15" s="5">
        <f t="shared" si="15"/>
        <v>44900.702072211745</v>
      </c>
      <c r="P15">
        <v>13</v>
      </c>
      <c r="Q15" s="11">
        <f t="shared" si="16"/>
        <v>114917.01030405388</v>
      </c>
      <c r="R15" s="11">
        <f t="shared" si="17"/>
        <v>4159.9957730067508</v>
      </c>
      <c r="S15" s="11">
        <f t="shared" si="18"/>
        <v>119077.00607706064</v>
      </c>
      <c r="T15" s="14">
        <f t="shared" si="4"/>
        <v>3.6200000000000003E-2</v>
      </c>
      <c r="U15" s="12">
        <f t="shared" si="5"/>
        <v>4682.4037268630627</v>
      </c>
      <c r="V15" s="16">
        <v>32993</v>
      </c>
      <c r="W15" s="13">
        <v>3758.37</v>
      </c>
      <c r="X15" s="15">
        <f t="shared" si="19"/>
        <v>6.5469761270953608E-2</v>
      </c>
      <c r="Y15" s="12">
        <f t="shared" si="6"/>
        <v>17464.582808167372</v>
      </c>
      <c r="Z15" s="12">
        <f t="shared" si="7"/>
        <v>284222.58633728256</v>
      </c>
      <c r="AA15" s="12">
        <f t="shared" si="8"/>
        <v>110383.72290756917</v>
      </c>
      <c r="AB15" s="16">
        <v>32993</v>
      </c>
      <c r="AC15" s="13">
        <v>3758.37</v>
      </c>
      <c r="AD15" s="15">
        <f t="shared" si="1"/>
        <v>5.0469761270953609E-2</v>
      </c>
      <c r="AE15" s="12">
        <f t="shared" si="9"/>
        <v>11410.119362086467</v>
      </c>
      <c r="AF15" s="12">
        <f t="shared" si="10"/>
        <v>237488.44972766374</v>
      </c>
      <c r="AG15" s="12">
        <f t="shared" si="11"/>
        <v>-51042.731577877887</v>
      </c>
    </row>
    <row r="16" spans="1:33">
      <c r="A16">
        <v>14</v>
      </c>
      <c r="B16" s="1">
        <f t="shared" si="20"/>
        <v>6.3299999999999995E-2</v>
      </c>
      <c r="C16">
        <f t="shared" si="21"/>
        <v>0.24207619161840169</v>
      </c>
      <c r="D16" s="2">
        <f t="shared" si="22"/>
        <v>475.26885326915573</v>
      </c>
      <c r="E16" s="2">
        <f t="shared" si="23"/>
        <v>5703.226239229869</v>
      </c>
      <c r="F16" s="2">
        <f t="shared" si="24"/>
        <v>55232.866669401585</v>
      </c>
      <c r="G16" s="2">
        <f t="shared" si="0"/>
        <v>-105303.78318278433</v>
      </c>
      <c r="H16">
        <v>14</v>
      </c>
      <c r="I16" s="4">
        <f t="shared" si="12"/>
        <v>8.6170240686183384</v>
      </c>
      <c r="J16" s="3">
        <f t="shared" si="2"/>
        <v>1000</v>
      </c>
      <c r="K16" s="3">
        <f t="shared" si="3"/>
        <v>12000</v>
      </c>
      <c r="L16" s="3">
        <v>20</v>
      </c>
      <c r="M16" s="4">
        <f t="shared" si="13"/>
        <v>430.85120343091694</v>
      </c>
      <c r="N16" s="4">
        <f t="shared" si="14"/>
        <v>5170.2144411710033</v>
      </c>
      <c r="O16" s="5">
        <f t="shared" si="15"/>
        <v>50070.916513382748</v>
      </c>
      <c r="P16">
        <v>14</v>
      </c>
      <c r="Q16" s="11">
        <f t="shared" si="16"/>
        <v>119077.00607706064</v>
      </c>
      <c r="R16" s="11">
        <f t="shared" si="17"/>
        <v>4310.5876199895956</v>
      </c>
      <c r="S16" s="11">
        <f t="shared" si="18"/>
        <v>123387.59369705024</v>
      </c>
      <c r="T16" s="14">
        <f t="shared" si="4"/>
        <v>3.6200000000000003E-2</v>
      </c>
      <c r="U16" s="12">
        <f t="shared" si="5"/>
        <v>-6021.5339386253663</v>
      </c>
      <c r="V16" s="16">
        <v>33358</v>
      </c>
      <c r="W16" s="13">
        <v>4465.1400000000003</v>
      </c>
      <c r="X16" s="15">
        <f t="shared" si="19"/>
        <v>0.18805226733929881</v>
      </c>
      <c r="Y16" s="12">
        <f t="shared" si="6"/>
        <v>53448.701789765597</v>
      </c>
      <c r="Z16" s="12">
        <f t="shared" si="7"/>
        <v>337671.28812704817</v>
      </c>
      <c r="AA16" s="12">
        <f t="shared" si="8"/>
        <v>120268.19159728958</v>
      </c>
      <c r="AB16" s="16">
        <v>33358</v>
      </c>
      <c r="AC16" s="13">
        <v>4465.1400000000003</v>
      </c>
      <c r="AD16" s="15">
        <f t="shared" si="1"/>
        <v>0.17305226733929879</v>
      </c>
      <c r="AE16" s="12">
        <f t="shared" si="9"/>
        <v>41097.914692267288</v>
      </c>
      <c r="AF16" s="12">
        <f t="shared" si="10"/>
        <v>278586.36441993102</v>
      </c>
      <c r="AG16" s="12">
        <f t="shared" si="11"/>
        <v>-71875.828208620878</v>
      </c>
    </row>
    <row r="17" spans="1:33">
      <c r="A17">
        <v>15</v>
      </c>
      <c r="B17" s="1">
        <f t="shared" si="20"/>
        <v>6.3299999999999995E-2</v>
      </c>
      <c r="C17">
        <f t="shared" si="21"/>
        <v>0.25739961454784649</v>
      </c>
      <c r="D17" s="2">
        <f t="shared" si="22"/>
        <v>505.35337168109328</v>
      </c>
      <c r="E17" s="2">
        <f t="shared" si="23"/>
        <v>6064.2404601731196</v>
      </c>
      <c r="F17" s="2">
        <f t="shared" si="24"/>
        <v>61297.107129574702</v>
      </c>
      <c r="G17" s="2">
        <f t="shared" si="0"/>
        <v>-116865.51265825458</v>
      </c>
      <c r="H17">
        <v>15</v>
      </c>
      <c r="I17" s="4">
        <f t="shared" si="12"/>
        <v>9.1624816921618795</v>
      </c>
      <c r="J17" s="3">
        <f t="shared" si="2"/>
        <v>1000</v>
      </c>
      <c r="K17" s="3">
        <f t="shared" si="3"/>
        <v>12000</v>
      </c>
      <c r="L17" s="3">
        <v>20</v>
      </c>
      <c r="M17" s="4">
        <f t="shared" si="13"/>
        <v>458.12408460809399</v>
      </c>
      <c r="N17" s="4">
        <f t="shared" si="14"/>
        <v>5497.4890152971275</v>
      </c>
      <c r="O17" s="5">
        <f t="shared" si="15"/>
        <v>55568.405528679876</v>
      </c>
      <c r="P17">
        <v>15</v>
      </c>
      <c r="Q17" s="11">
        <f t="shared" si="16"/>
        <v>123387.59369705024</v>
      </c>
      <c r="R17" s="11">
        <f t="shared" si="17"/>
        <v>4466.6308918332188</v>
      </c>
      <c r="S17" s="11">
        <f t="shared" si="18"/>
        <v>127854.22458888346</v>
      </c>
      <c r="T17" s="14">
        <f t="shared" si="4"/>
        <v>3.6200000000000003E-2</v>
      </c>
      <c r="U17" s="12">
        <f t="shared" si="5"/>
        <v>-17801.242942673853</v>
      </c>
      <c r="V17" s="16">
        <v>33724</v>
      </c>
      <c r="W17" s="13">
        <v>5643.18</v>
      </c>
      <c r="X17" s="15">
        <f t="shared" si="19"/>
        <v>0.26383047340061005</v>
      </c>
      <c r="Y17" s="12">
        <f t="shared" si="6"/>
        <v>89087.975800352913</v>
      </c>
      <c r="Z17" s="12">
        <f t="shared" si="7"/>
        <v>426759.2639274011</v>
      </c>
      <c r="AA17" s="12">
        <f t="shared" si="8"/>
        <v>140436.87604596754</v>
      </c>
      <c r="AB17" s="16">
        <v>33724</v>
      </c>
      <c r="AC17" s="13">
        <v>5643.18</v>
      </c>
      <c r="AD17" s="15">
        <f t="shared" si="1"/>
        <v>0.24883047340061004</v>
      </c>
      <c r="AE17" s="12">
        <f t="shared" si="9"/>
        <v>69320.776941566306</v>
      </c>
      <c r="AF17" s="12">
        <f t="shared" si="10"/>
        <v>347907.14136149734</v>
      </c>
      <c r="AG17" s="12">
        <f t="shared" si="11"/>
        <v>-101760.76076783294</v>
      </c>
    </row>
    <row r="18" spans="1:33">
      <c r="A18">
        <v>16</v>
      </c>
      <c r="B18" s="1">
        <f t="shared" si="20"/>
        <v>6.3299999999999995E-2</v>
      </c>
      <c r="C18">
        <f t="shared" si="21"/>
        <v>0.27369301014872516</v>
      </c>
      <c r="D18" s="2">
        <f t="shared" si="22"/>
        <v>537.34224010850653</v>
      </c>
      <c r="E18" s="2">
        <f t="shared" si="23"/>
        <v>6448.1068813020784</v>
      </c>
      <c r="F18" s="2">
        <f t="shared" si="24"/>
        <v>67745.214010876778</v>
      </c>
      <c r="G18" s="2">
        <f t="shared" si="0"/>
        <v>-129159.09960952209</v>
      </c>
      <c r="H18">
        <v>16</v>
      </c>
      <c r="I18" s="4">
        <f t="shared" si="12"/>
        <v>9.7424667832757272</v>
      </c>
      <c r="J18" s="3">
        <f t="shared" si="2"/>
        <v>1000</v>
      </c>
      <c r="K18" s="3">
        <f t="shared" si="3"/>
        <v>12000</v>
      </c>
      <c r="L18" s="3">
        <v>20</v>
      </c>
      <c r="M18" s="4">
        <f t="shared" si="13"/>
        <v>487.12333916378634</v>
      </c>
      <c r="N18" s="4">
        <f t="shared" si="14"/>
        <v>5845.4800699654361</v>
      </c>
      <c r="O18" s="5">
        <f t="shared" si="15"/>
        <v>61413.885598645313</v>
      </c>
      <c r="P18">
        <v>16</v>
      </c>
      <c r="Q18" s="11">
        <f t="shared" si="16"/>
        <v>127854.22458888346</v>
      </c>
      <c r="R18" s="11">
        <f t="shared" si="17"/>
        <v>8937.0102987629543</v>
      </c>
      <c r="S18" s="11">
        <f t="shared" si="18"/>
        <v>136791.23488764642</v>
      </c>
      <c r="T18" s="14">
        <v>6.9900000000000004E-2</v>
      </c>
      <c r="U18" s="12">
        <f t="shared" si="5"/>
        <v>-31339.13677563427</v>
      </c>
      <c r="V18" s="16">
        <v>34089</v>
      </c>
      <c r="W18" s="13">
        <v>7331.04</v>
      </c>
      <c r="X18" s="15">
        <f t="shared" si="19"/>
        <v>0.29909731746993717</v>
      </c>
      <c r="Y18" s="12">
        <f t="shared" si="6"/>
        <v>127642.5510461306</v>
      </c>
      <c r="Z18" s="12">
        <f t="shared" si="7"/>
        <v>554401.81497353176</v>
      </c>
      <c r="AA18" s="12">
        <f t="shared" si="8"/>
        <v>170147.58199390699</v>
      </c>
      <c r="AB18" s="16">
        <v>34089</v>
      </c>
      <c r="AC18" s="13">
        <v>7331.04</v>
      </c>
      <c r="AD18" s="15">
        <f t="shared" si="1"/>
        <v>0.28409731746993716</v>
      </c>
      <c r="AE18" s="12">
        <f t="shared" si="9"/>
        <v>98839.485589435615</v>
      </c>
      <c r="AF18" s="12">
        <f t="shared" si="10"/>
        <v>446746.62695093296</v>
      </c>
      <c r="AG18" s="12">
        <f t="shared" si="11"/>
        <v>-142670.78982567429</v>
      </c>
    </row>
    <row r="19" spans="1:33">
      <c r="A19">
        <v>17</v>
      </c>
      <c r="B19" s="1">
        <f t="shared" si="20"/>
        <v>6.3299999999999995E-2</v>
      </c>
      <c r="C19">
        <f t="shared" si="21"/>
        <v>0.29101777769113946</v>
      </c>
      <c r="D19" s="2">
        <f t="shared" si="22"/>
        <v>571.356003907375</v>
      </c>
      <c r="E19" s="2">
        <f t="shared" si="23"/>
        <v>6856.2720468885</v>
      </c>
      <c r="F19" s="2">
        <f t="shared" si="24"/>
        <v>74601.486057765273</v>
      </c>
      <c r="G19" s="2">
        <f t="shared" si="0"/>
        <v>-142230.87061480485</v>
      </c>
      <c r="H19">
        <v>17</v>
      </c>
      <c r="I19" s="4">
        <f t="shared" si="12"/>
        <v>10.35916493065708</v>
      </c>
      <c r="J19" s="3">
        <f t="shared" si="2"/>
        <v>1000</v>
      </c>
      <c r="K19" s="3">
        <f t="shared" si="3"/>
        <v>12000</v>
      </c>
      <c r="L19" s="3">
        <v>20</v>
      </c>
      <c r="M19" s="4">
        <f t="shared" si="13"/>
        <v>517.95824653285399</v>
      </c>
      <c r="N19" s="4">
        <f t="shared" si="14"/>
        <v>6215.4989583942479</v>
      </c>
      <c r="O19" s="5">
        <f t="shared" si="15"/>
        <v>67629.384557039564</v>
      </c>
      <c r="P19">
        <v>17</v>
      </c>
      <c r="Q19" s="11">
        <f t="shared" si="16"/>
        <v>136791.23488764642</v>
      </c>
      <c r="R19" s="11">
        <f t="shared" si="17"/>
        <v>9561.7073186464859</v>
      </c>
      <c r="S19" s="11">
        <f t="shared" si="18"/>
        <v>146352.94220629291</v>
      </c>
      <c r="T19" s="14">
        <f t="shared" si="4"/>
        <v>6.9900000000000004E-2</v>
      </c>
      <c r="U19" s="12">
        <f t="shared" si="5"/>
        <v>-46601.513441533862</v>
      </c>
      <c r="V19" s="16">
        <v>34454</v>
      </c>
      <c r="W19" s="13">
        <v>8899.9500000000007</v>
      </c>
      <c r="X19" s="15">
        <f t="shared" si="19"/>
        <v>0.21400919924048978</v>
      </c>
      <c r="Y19" s="12">
        <f t="shared" si="6"/>
        <v>118647.08847995971</v>
      </c>
      <c r="Z19" s="12">
        <f t="shared" si="7"/>
        <v>673048.90345349151</v>
      </c>
      <c r="AA19" s="12">
        <f t="shared" si="8"/>
        <v>193488.95876384585</v>
      </c>
      <c r="AB19" s="16">
        <v>34454</v>
      </c>
      <c r="AC19" s="13">
        <v>8899.9500000000007</v>
      </c>
      <c r="AD19" s="15">
        <f t="shared" si="1"/>
        <v>0.19900919924048976</v>
      </c>
      <c r="AE19" s="12">
        <f t="shared" si="9"/>
        <v>88906.688492894973</v>
      </c>
      <c r="AF19" s="12">
        <f t="shared" si="10"/>
        <v>535653.31544382789</v>
      </c>
      <c r="AG19" s="12">
        <f t="shared" si="11"/>
        <v>-183063.65936388995</v>
      </c>
    </row>
    <row r="20" spans="1:33">
      <c r="A20">
        <v>18</v>
      </c>
      <c r="B20" s="1">
        <f t="shared" si="20"/>
        <v>6.3299999999999995E-2</v>
      </c>
      <c r="C20">
        <f t="shared" si="21"/>
        <v>0.30943920301898858</v>
      </c>
      <c r="D20" s="2">
        <f t="shared" si="22"/>
        <v>607.5228389547118</v>
      </c>
      <c r="E20" s="2">
        <f t="shared" si="23"/>
        <v>7290.2740674565412</v>
      </c>
      <c r="F20" s="2">
        <f t="shared" si="24"/>
        <v>81891.760125221816</v>
      </c>
      <c r="G20" s="2">
        <f t="shared" si="0"/>
        <v>-156130.08472472196</v>
      </c>
      <c r="H20">
        <v>18</v>
      </c>
      <c r="I20" s="4">
        <f t="shared" si="12"/>
        <v>11.014900070767673</v>
      </c>
      <c r="J20" s="3">
        <f t="shared" si="2"/>
        <v>1000</v>
      </c>
      <c r="K20" s="3">
        <f t="shared" si="3"/>
        <v>12000</v>
      </c>
      <c r="L20" s="3">
        <v>20</v>
      </c>
      <c r="M20" s="4">
        <f t="shared" si="13"/>
        <v>550.74500353838368</v>
      </c>
      <c r="N20" s="4">
        <f t="shared" si="14"/>
        <v>6608.9400424606047</v>
      </c>
      <c r="O20" s="5">
        <f t="shared" si="15"/>
        <v>74238.324599500163</v>
      </c>
      <c r="P20">
        <v>18</v>
      </c>
      <c r="Q20" s="11">
        <f t="shared" si="16"/>
        <v>146352.94220629291</v>
      </c>
      <c r="R20" s="11">
        <f t="shared" si="17"/>
        <v>10230.070660219875</v>
      </c>
      <c r="S20" s="11">
        <f t="shared" si="18"/>
        <v>156583.01286651278</v>
      </c>
      <c r="T20" s="14">
        <f t="shared" si="4"/>
        <v>6.9900000000000004E-2</v>
      </c>
      <c r="U20" s="12">
        <f t="shared" si="5"/>
        <v>-63758.173341014226</v>
      </c>
      <c r="V20" s="16">
        <v>34819</v>
      </c>
      <c r="W20" s="13">
        <v>10559.74</v>
      </c>
      <c r="X20" s="15">
        <f t="shared" si="19"/>
        <v>0.18649430614778728</v>
      </c>
      <c r="Y20" s="12">
        <f t="shared" si="6"/>
        <v>125519.78825308797</v>
      </c>
      <c r="Z20" s="12">
        <f t="shared" si="7"/>
        <v>798568.69170657953</v>
      </c>
      <c r="AA20" s="12">
        <f t="shared" si="8"/>
        <v>215674.33376584997</v>
      </c>
      <c r="AB20" s="16">
        <v>34819</v>
      </c>
      <c r="AC20" s="13">
        <v>10559.74</v>
      </c>
      <c r="AD20" s="15">
        <f t="shared" si="1"/>
        <v>0.17149430614778727</v>
      </c>
      <c r="AE20" s="12">
        <f t="shared" si="9"/>
        <v>91861.493667801085</v>
      </c>
      <c r="AF20" s="12">
        <f t="shared" si="10"/>
        <v>627514.80911162891</v>
      </c>
      <c r="AG20" s="12">
        <f t="shared" si="11"/>
        <v>-226458.10450737513</v>
      </c>
    </row>
    <row r="21" spans="1:33">
      <c r="A21">
        <v>19</v>
      </c>
      <c r="B21" s="1">
        <f t="shared" si="20"/>
        <v>6.3299999999999995E-2</v>
      </c>
      <c r="C21">
        <f t="shared" si="21"/>
        <v>0.32902670457009053</v>
      </c>
      <c r="D21" s="2">
        <f t="shared" si="22"/>
        <v>645.97903466054504</v>
      </c>
      <c r="E21" s="2">
        <f t="shared" si="23"/>
        <v>7751.7484159265405</v>
      </c>
      <c r="F21" s="2">
        <f t="shared" si="24"/>
        <v>89643.50854114836</v>
      </c>
      <c r="G21" s="2">
        <f t="shared" si="0"/>
        <v>-170909.11908779689</v>
      </c>
      <c r="H21">
        <v>19</v>
      </c>
      <c r="I21" s="4">
        <f t="shared" si="12"/>
        <v>11.712143245247267</v>
      </c>
      <c r="J21" s="3">
        <f t="shared" si="2"/>
        <v>1000</v>
      </c>
      <c r="K21" s="3">
        <f t="shared" si="3"/>
        <v>12000</v>
      </c>
      <c r="L21" s="3">
        <v>20</v>
      </c>
      <c r="M21" s="4">
        <f t="shared" si="13"/>
        <v>585.60716226236332</v>
      </c>
      <c r="N21" s="4">
        <f t="shared" si="14"/>
        <v>7027.2859471483598</v>
      </c>
      <c r="O21" s="5">
        <f t="shared" si="15"/>
        <v>81265.610546648517</v>
      </c>
      <c r="P21">
        <v>19</v>
      </c>
      <c r="Q21" s="11">
        <f t="shared" si="16"/>
        <v>156583.01286651278</v>
      </c>
      <c r="R21" s="11">
        <f t="shared" si="17"/>
        <v>10945.152599369245</v>
      </c>
      <c r="S21" s="11">
        <f t="shared" si="18"/>
        <v>167528.16546588202</v>
      </c>
      <c r="T21" s="14">
        <f t="shared" si="4"/>
        <v>6.9900000000000004E-2</v>
      </c>
      <c r="U21" s="12">
        <f t="shared" si="5"/>
        <v>-82993.904020626011</v>
      </c>
      <c r="V21" s="16">
        <v>35185</v>
      </c>
      <c r="W21" s="13">
        <v>10522.33</v>
      </c>
      <c r="X21" s="15">
        <f t="shared" si="19"/>
        <v>-3.5427008619530742E-3</v>
      </c>
      <c r="Y21" s="12">
        <f t="shared" si="6"/>
        <v>-2829.0899924376381</v>
      </c>
      <c r="Z21" s="12">
        <f t="shared" si="7"/>
        <v>795739.6017141419</v>
      </c>
      <c r="AA21" s="12">
        <f t="shared" si="8"/>
        <v>200131.22975464162</v>
      </c>
      <c r="AB21" s="16">
        <v>35185</v>
      </c>
      <c r="AC21" s="13">
        <v>10522.33</v>
      </c>
      <c r="AD21" s="15">
        <f t="shared" si="1"/>
        <v>-1.8542700861953074E-2</v>
      </c>
      <c r="AE21" s="12">
        <f t="shared" si="9"/>
        <v>-11635.819391802521</v>
      </c>
      <c r="AF21" s="12">
        <f t="shared" si="10"/>
        <v>615878.98971982638</v>
      </c>
      <c r="AG21" s="12">
        <f t="shared" si="11"/>
        <v>-234259.02951772997</v>
      </c>
    </row>
    <row r="22" spans="1:33">
      <c r="A22">
        <v>20</v>
      </c>
      <c r="B22" s="1">
        <f t="shared" si="20"/>
        <v>6.3299999999999995E-2</v>
      </c>
      <c r="C22">
        <f t="shared" si="21"/>
        <v>0.34985409496937725</v>
      </c>
      <c r="D22" s="2">
        <f t="shared" si="22"/>
        <v>686.86950755455757</v>
      </c>
      <c r="E22" s="2">
        <f t="shared" si="23"/>
        <v>8242.4340906546913</v>
      </c>
      <c r="F22" s="2">
        <f t="shared" si="24"/>
        <v>97885.942631803046</v>
      </c>
      <c r="G22" s="2">
        <f t="shared" si="0"/>
        <v>-186623.66632605443</v>
      </c>
      <c r="H22">
        <v>20</v>
      </c>
      <c r="I22" s="4">
        <f t="shared" si="12"/>
        <v>12.45352191267142</v>
      </c>
      <c r="J22" s="3">
        <f t="shared" si="2"/>
        <v>1000</v>
      </c>
      <c r="K22" s="3">
        <f t="shared" si="3"/>
        <v>12000</v>
      </c>
      <c r="L22" s="3">
        <v>20</v>
      </c>
      <c r="M22" s="4">
        <f t="shared" si="13"/>
        <v>622.67609563357098</v>
      </c>
      <c r="N22" s="4">
        <f t="shared" si="14"/>
        <v>7472.1131476028513</v>
      </c>
      <c r="O22" s="5">
        <f t="shared" si="15"/>
        <v>88737.72369425137</v>
      </c>
      <c r="P22">
        <v>20</v>
      </c>
      <c r="Q22" s="11">
        <f t="shared" si="16"/>
        <v>167528.16546588202</v>
      </c>
      <c r="R22" s="11">
        <f t="shared" si="17"/>
        <v>11710.218766065154</v>
      </c>
      <c r="S22" s="11">
        <f t="shared" si="18"/>
        <v>179238.38423194719</v>
      </c>
      <c r="T22" s="14">
        <f t="shared" si="4"/>
        <v>6.9900000000000004E-2</v>
      </c>
      <c r="U22" s="12">
        <f t="shared" si="5"/>
        <v>-104509.7251499253</v>
      </c>
      <c r="V22" s="16">
        <v>35550</v>
      </c>
      <c r="W22" s="13">
        <v>10911.94</v>
      </c>
      <c r="X22" s="15">
        <f t="shared" si="19"/>
        <v>3.7026970262289849E-2</v>
      </c>
      <c r="Y22" s="12">
        <f t="shared" si="6"/>
        <v>29463.826569195902</v>
      </c>
      <c r="Z22" s="12">
        <f t="shared" si="7"/>
        <v>825203.42828333785</v>
      </c>
      <c r="AA22" s="12">
        <f t="shared" si="8"/>
        <v>191826.93560906471</v>
      </c>
      <c r="AB22" s="16">
        <v>35550</v>
      </c>
      <c r="AC22" s="13">
        <v>10911.94</v>
      </c>
      <c r="AD22" s="15">
        <f t="shared" si="1"/>
        <v>2.2026970262289849E-2</v>
      </c>
      <c r="AE22" s="12">
        <f t="shared" si="9"/>
        <v>13565.948191727732</v>
      </c>
      <c r="AF22" s="12">
        <f t="shared" si="10"/>
        <v>629444.93791155412</v>
      </c>
      <c r="AG22" s="12">
        <f t="shared" si="11"/>
        <v>-251419.1160945899</v>
      </c>
    </row>
    <row r="23" spans="1:33">
      <c r="A23">
        <v>21</v>
      </c>
      <c r="B23" s="1">
        <f t="shared" si="20"/>
        <v>6.3299999999999995E-2</v>
      </c>
      <c r="C23">
        <f t="shared" si="21"/>
        <v>0.37199985918093881</v>
      </c>
      <c r="D23" s="2">
        <f t="shared" si="22"/>
        <v>730.34834738276106</v>
      </c>
      <c r="E23" s="2">
        <f t="shared" si="23"/>
        <v>8764.1801685931332</v>
      </c>
      <c r="F23" s="2">
        <f t="shared" si="24"/>
        <v>106650.12280039617</v>
      </c>
      <c r="G23" s="2">
        <f t="shared" si="0"/>
        <v>-203332.94440449367</v>
      </c>
      <c r="H23">
        <v>21</v>
      </c>
      <c r="I23" s="4">
        <f t="shared" si="12"/>
        <v>13.241829849743521</v>
      </c>
      <c r="J23" s="3">
        <f t="shared" si="2"/>
        <v>1000</v>
      </c>
      <c r="K23" s="3">
        <f t="shared" si="3"/>
        <v>12000</v>
      </c>
      <c r="L23" s="3">
        <v>20</v>
      </c>
      <c r="M23" s="4">
        <f t="shared" si="13"/>
        <v>662.09149248717608</v>
      </c>
      <c r="N23" s="4">
        <f t="shared" si="14"/>
        <v>7945.097909846113</v>
      </c>
      <c r="O23" s="5">
        <f t="shared" si="15"/>
        <v>96682.82160409748</v>
      </c>
      <c r="P23">
        <v>21</v>
      </c>
      <c r="Q23" s="11">
        <f t="shared" si="16"/>
        <v>179238.38423194719</v>
      </c>
      <c r="R23" s="11">
        <f t="shared" si="17"/>
        <v>12528.763057813108</v>
      </c>
      <c r="S23" s="11">
        <f t="shared" si="18"/>
        <v>191767.14728976029</v>
      </c>
      <c r="T23" s="14">
        <f t="shared" si="4"/>
        <v>6.9900000000000004E-2</v>
      </c>
      <c r="U23" s="12">
        <f t="shared" si="5"/>
        <v>-128524.23301634433</v>
      </c>
      <c r="V23" s="18" t="s">
        <v>64</v>
      </c>
      <c r="W23" s="13">
        <v>9925.25</v>
      </c>
      <c r="X23" s="15">
        <f t="shared" si="19"/>
        <v>-9.0422967868225124E-2</v>
      </c>
      <c r="Y23" s="12">
        <f t="shared" si="6"/>
        <v>-74617.34308041347</v>
      </c>
      <c r="Z23" s="12">
        <f t="shared" si="7"/>
        <v>750586.08520292444</v>
      </c>
      <c r="AA23" s="12">
        <f t="shared" si="8"/>
        <v>157772.09669578692</v>
      </c>
      <c r="AB23" s="18" t="s">
        <v>64</v>
      </c>
      <c r="AC23" s="13">
        <v>9925.25</v>
      </c>
      <c r="AD23" s="15">
        <f t="shared" si="1"/>
        <v>-0.10542296786822512</v>
      </c>
      <c r="AE23" s="12">
        <f t="shared" si="9"/>
        <v>-66357.953464266728</v>
      </c>
      <c r="AF23" s="12">
        <f t="shared" si="10"/>
        <v>563086.9844472874</v>
      </c>
      <c r="AG23" s="12">
        <f t="shared" si="11"/>
        <v>-236913.83659709239</v>
      </c>
    </row>
    <row r="24" spans="1:33">
      <c r="A24">
        <v>22</v>
      </c>
      <c r="B24" s="1">
        <f t="shared" si="20"/>
        <v>6.3299999999999995E-2</v>
      </c>
      <c r="C24">
        <f t="shared" si="21"/>
        <v>0.39554745026709226</v>
      </c>
      <c r="D24" s="2">
        <f t="shared" si="22"/>
        <v>776.57939777208981</v>
      </c>
      <c r="E24" s="2">
        <f t="shared" si="23"/>
        <v>9318.9527732650786</v>
      </c>
      <c r="F24" s="2">
        <f t="shared" si="24"/>
        <v>115969.07557366125</v>
      </c>
      <c r="G24" s="2">
        <f t="shared" si="0"/>
        <v>-221099.91978529812</v>
      </c>
      <c r="H24">
        <v>22</v>
      </c>
      <c r="I24" s="4">
        <f t="shared" si="12"/>
        <v>14.080037679232285</v>
      </c>
      <c r="J24" s="3">
        <f t="shared" si="2"/>
        <v>1000</v>
      </c>
      <c r="K24" s="3">
        <f t="shared" si="3"/>
        <v>12000</v>
      </c>
      <c r="L24" s="3">
        <v>20</v>
      </c>
      <c r="M24" s="4">
        <f t="shared" si="13"/>
        <v>704.00188396161423</v>
      </c>
      <c r="N24" s="4">
        <f t="shared" si="14"/>
        <v>8448.0226075393712</v>
      </c>
      <c r="O24" s="5">
        <f t="shared" si="15"/>
        <v>105130.84421163685</v>
      </c>
      <c r="P24">
        <v>22</v>
      </c>
      <c r="Q24" s="11">
        <f t="shared" si="16"/>
        <v>191767.14728976029</v>
      </c>
      <c r="R24" s="11">
        <f t="shared" si="17"/>
        <v>13404.523595554245</v>
      </c>
      <c r="S24" s="11">
        <f t="shared" si="18"/>
        <v>205171.67088531452</v>
      </c>
      <c r="T24" s="14">
        <f t="shared" si="4"/>
        <v>6.9900000000000004E-2</v>
      </c>
      <c r="U24" s="12">
        <f t="shared" si="5"/>
        <v>-155275.05228499125</v>
      </c>
      <c r="V24" s="18" t="s">
        <v>65</v>
      </c>
      <c r="W24" s="13">
        <v>8550.26</v>
      </c>
      <c r="X24" s="15">
        <f t="shared" si="19"/>
        <v>-0.13853454572932666</v>
      </c>
      <c r="Y24" s="12">
        <f t="shared" si="6"/>
        <v>-103982.10234434082</v>
      </c>
      <c r="Z24" s="12">
        <f t="shared" si="7"/>
        <v>646603.98285858356</v>
      </c>
      <c r="AA24" s="12">
        <f t="shared" si="8"/>
        <v>118148.23557046824</v>
      </c>
      <c r="AB24" s="18" t="s">
        <v>65</v>
      </c>
      <c r="AC24" s="13">
        <v>8550.26</v>
      </c>
      <c r="AD24" s="15">
        <f t="shared" si="1"/>
        <v>-0.15353454572932668</v>
      </c>
      <c r="AE24" s="12">
        <f t="shared" si="9"/>
        <v>-86453.3043632107</v>
      </c>
      <c r="AF24" s="12">
        <f t="shared" si="10"/>
        <v>476633.68008407671</v>
      </c>
      <c r="AG24" s="12">
        <f t="shared" si="11"/>
        <v>-212539.4482181659</v>
      </c>
    </row>
    <row r="25" spans="1:33">
      <c r="A25">
        <v>23</v>
      </c>
      <c r="B25" s="1">
        <f t="shared" si="20"/>
        <v>6.3299999999999995E-2</v>
      </c>
      <c r="C25">
        <f t="shared" si="21"/>
        <v>0.42058560386899918</v>
      </c>
      <c r="D25" s="2">
        <f t="shared" si="22"/>
        <v>825.73687365106309</v>
      </c>
      <c r="E25" s="2">
        <f t="shared" si="23"/>
        <v>9908.8424838127576</v>
      </c>
      <c r="F25" s="2">
        <f t="shared" si="24"/>
        <v>125877.918057474</v>
      </c>
      <c r="G25" s="2">
        <f t="shared" si="0"/>
        <v>-239991.54470770748</v>
      </c>
      <c r="H25">
        <v>23</v>
      </c>
      <c r="I25" s="4">
        <f t="shared" si="12"/>
        <v>14.97130406432769</v>
      </c>
      <c r="J25" s="3">
        <f t="shared" si="2"/>
        <v>1000</v>
      </c>
      <c r="K25" s="3">
        <f t="shared" si="3"/>
        <v>12000</v>
      </c>
      <c r="L25" s="3">
        <v>20</v>
      </c>
      <c r="M25" s="4">
        <f t="shared" si="13"/>
        <v>748.56520321638448</v>
      </c>
      <c r="N25" s="4">
        <f t="shared" si="14"/>
        <v>8982.7824385966142</v>
      </c>
      <c r="O25" s="5">
        <f t="shared" si="15"/>
        <v>114113.62665023346</v>
      </c>
      <c r="P25">
        <v>23</v>
      </c>
      <c r="Q25" s="11">
        <f t="shared" si="16"/>
        <v>205171.67088531452</v>
      </c>
      <c r="R25" s="11">
        <f t="shared" si="17"/>
        <v>14341.499794883486</v>
      </c>
      <c r="S25" s="11">
        <f t="shared" si="18"/>
        <v>219513.170680198</v>
      </c>
      <c r="T25" s="14">
        <f t="shared" si="4"/>
        <v>6.9900000000000004E-2</v>
      </c>
      <c r="U25" s="12">
        <f t="shared" si="5"/>
        <v>-185020.40336212152</v>
      </c>
      <c r="V25" s="18" t="s">
        <v>66</v>
      </c>
      <c r="W25" s="13">
        <v>10188.450000000001</v>
      </c>
      <c r="X25" s="15">
        <f t="shared" si="19"/>
        <v>0.19159534329950212</v>
      </c>
      <c r="Y25" s="12">
        <f t="shared" si="6"/>
        <v>123886.31207461571</v>
      </c>
      <c r="Z25" s="12">
        <f t="shared" si="7"/>
        <v>770490.2949331993</v>
      </c>
      <c r="AA25" s="12">
        <f t="shared" si="8"/>
        <v>121893.26240241317</v>
      </c>
      <c r="AB25" s="18" t="s">
        <v>66</v>
      </c>
      <c r="AC25" s="13">
        <v>10188.450000000001</v>
      </c>
      <c r="AD25" s="15">
        <f t="shared" si="1"/>
        <v>0.17659534329950211</v>
      </c>
      <c r="AE25" s="12">
        <f t="shared" si="9"/>
        <v>84171.288362552586</v>
      </c>
      <c r="AF25" s="12">
        <f t="shared" si="10"/>
        <v>560804.96844662935</v>
      </c>
      <c r="AG25" s="12">
        <f t="shared" si="11"/>
        <v>-262072.99494093965</v>
      </c>
    </row>
    <row r="26" spans="1:33">
      <c r="A26">
        <v>24</v>
      </c>
      <c r="B26" s="1">
        <f t="shared" si="20"/>
        <v>6.3299999999999995E-2</v>
      </c>
      <c r="C26">
        <f t="shared" si="21"/>
        <v>0.44720867259390684</v>
      </c>
      <c r="D26" s="2">
        <f t="shared" si="22"/>
        <v>878.00601775317534</v>
      </c>
      <c r="E26" s="2">
        <f t="shared" si="23"/>
        <v>10536.072213038104</v>
      </c>
      <c r="F26" s="2">
        <f t="shared" si="24"/>
        <v>136413.99027051212</v>
      </c>
      <c r="G26" s="2">
        <f t="shared" si="0"/>
        <v>-260079.00948770536</v>
      </c>
      <c r="H26">
        <v>24</v>
      </c>
      <c r="I26" s="4">
        <f t="shared" si="12"/>
        <v>15.918987611599633</v>
      </c>
      <c r="J26" s="3">
        <f t="shared" si="2"/>
        <v>1000</v>
      </c>
      <c r="K26" s="3">
        <f t="shared" si="3"/>
        <v>12000</v>
      </c>
      <c r="L26" s="3">
        <v>20</v>
      </c>
      <c r="M26" s="4">
        <f t="shared" si="13"/>
        <v>795.94938057998161</v>
      </c>
      <c r="N26" s="4">
        <f t="shared" si="14"/>
        <v>9551.3925669597793</v>
      </c>
      <c r="O26" s="5">
        <f t="shared" si="15"/>
        <v>123665.01921719324</v>
      </c>
      <c r="P26">
        <v>24</v>
      </c>
      <c r="Q26" s="11">
        <f t="shared" si="16"/>
        <v>219513.170680198</v>
      </c>
      <c r="R26" s="11">
        <f t="shared" si="17"/>
        <v>15343.970630545842</v>
      </c>
      <c r="S26" s="11">
        <f t="shared" si="18"/>
        <v>234857.14131074384</v>
      </c>
      <c r="T26" s="14">
        <f t="shared" si="4"/>
        <v>6.9900000000000004E-2</v>
      </c>
      <c r="U26" s="12">
        <f t="shared" si="5"/>
        <v>-218040.79433713169</v>
      </c>
      <c r="V26" s="18" t="s">
        <v>67</v>
      </c>
      <c r="W26" s="13">
        <v>10467.48</v>
      </c>
      <c r="X26" s="15">
        <f t="shared" si="19"/>
        <v>2.7386893982892291E-2</v>
      </c>
      <c r="Y26" s="12">
        <f t="shared" si="6"/>
        <v>21101.336022182943</v>
      </c>
      <c r="Z26" s="12">
        <f t="shared" si="7"/>
        <v>791591.63095538225</v>
      </c>
      <c r="AA26" s="12">
        <f t="shared" si="8"/>
        <v>105144.07547705904</v>
      </c>
      <c r="AB26" s="18" t="s">
        <v>67</v>
      </c>
      <c r="AC26" s="13">
        <v>10467.48</v>
      </c>
      <c r="AD26" s="15">
        <f t="shared" si="1"/>
        <v>1.2386893982892291E-2</v>
      </c>
      <c r="AE26" s="12">
        <f t="shared" si="9"/>
        <v>6946.6316892276545</v>
      </c>
      <c r="AF26" s="12">
        <f t="shared" si="10"/>
        <v>567751.60013585701</v>
      </c>
      <c r="AG26" s="12">
        <f t="shared" si="11"/>
        <v>-277319.33524505212</v>
      </c>
    </row>
    <row r="27" spans="1:33">
      <c r="A27">
        <v>25</v>
      </c>
      <c r="B27" s="1">
        <f t="shared" si="20"/>
        <v>6.3299999999999995E-2</v>
      </c>
      <c r="C27">
        <f t="shared" si="21"/>
        <v>0.47551698156910116</v>
      </c>
      <c r="D27" s="2">
        <f t="shared" si="22"/>
        <v>933.58379867695135</v>
      </c>
      <c r="E27" s="2">
        <f t="shared" si="23"/>
        <v>11203.005584123417</v>
      </c>
      <c r="F27" s="2">
        <f t="shared" si="24"/>
        <v>147616.99585463555</v>
      </c>
      <c r="G27" s="2">
        <f t="shared" si="0"/>
        <v>-281438.01078827714</v>
      </c>
      <c r="H27">
        <v>25</v>
      </c>
      <c r="I27" s="4">
        <f t="shared" si="12"/>
        <v>16.926659527413889</v>
      </c>
      <c r="J27" s="3">
        <f t="shared" si="2"/>
        <v>1000</v>
      </c>
      <c r="K27" s="3">
        <f t="shared" si="3"/>
        <v>12000</v>
      </c>
      <c r="L27" s="3">
        <v>20</v>
      </c>
      <c r="M27" s="4">
        <f t="shared" si="13"/>
        <v>846.3329763706945</v>
      </c>
      <c r="N27" s="4">
        <f t="shared" si="14"/>
        <v>10155.995716448335</v>
      </c>
      <c r="O27" s="5">
        <f t="shared" si="15"/>
        <v>133821.01493364159</v>
      </c>
      <c r="P27">
        <v>25</v>
      </c>
      <c r="Q27" s="11">
        <f t="shared" si="16"/>
        <v>234857.14131074384</v>
      </c>
      <c r="R27" s="11">
        <f t="shared" si="17"/>
        <v>16416.514177620997</v>
      </c>
      <c r="S27" s="11">
        <f t="shared" si="18"/>
        <v>251273.65548836484</v>
      </c>
      <c r="T27" s="14">
        <f t="shared" si="4"/>
        <v>6.9900000000000004E-2</v>
      </c>
      <c r="U27" s="12">
        <f t="shared" si="5"/>
        <v>-254640.84716186894</v>
      </c>
      <c r="V27" s="18" t="s">
        <v>18</v>
      </c>
      <c r="W27" s="13">
        <v>11168.31</v>
      </c>
      <c r="X27" s="15">
        <f t="shared" si="19"/>
        <v>6.6953077531554772E-2</v>
      </c>
      <c r="Y27" s="12">
        <f t="shared" si="6"/>
        <v>52999.495840685602</v>
      </c>
      <c r="Z27" s="12">
        <f t="shared" si="7"/>
        <v>844591.12679606781</v>
      </c>
      <c r="AA27" s="12">
        <f t="shared" si="8"/>
        <v>90824.793613886475</v>
      </c>
      <c r="AB27" s="18" t="s">
        <v>18</v>
      </c>
      <c r="AC27" s="13">
        <v>11168.31</v>
      </c>
      <c r="AD27" s="15">
        <f t="shared" si="1"/>
        <v>5.1953077531554773E-2</v>
      </c>
      <c r="AE27" s="12">
        <f t="shared" si="9"/>
        <v>29496.442900522463</v>
      </c>
      <c r="AF27" s="12">
        <f t="shared" si="10"/>
        <v>597248.0430363795</v>
      </c>
      <c r="AG27" s="12">
        <f t="shared" si="11"/>
        <v>-303726.99807003757</v>
      </c>
    </row>
    <row r="28" spans="1:33">
      <c r="A28">
        <v>26</v>
      </c>
      <c r="B28" s="1">
        <f t="shared" si="20"/>
        <v>6.3299999999999995E-2</v>
      </c>
      <c r="C28">
        <f t="shared" si="21"/>
        <v>0.50561720650242525</v>
      </c>
      <c r="D28" s="2">
        <f t="shared" si="22"/>
        <v>992.67965313320235</v>
      </c>
      <c r="E28" s="2">
        <f t="shared" si="23"/>
        <v>11912.155837598428</v>
      </c>
      <c r="F28" s="2">
        <f t="shared" si="24"/>
        <v>159529.15169223398</v>
      </c>
      <c r="G28" s="2">
        <f t="shared" si="0"/>
        <v>-304149.03687117505</v>
      </c>
      <c r="H28">
        <v>26</v>
      </c>
      <c r="I28" s="4">
        <f t="shared" si="12"/>
        <v>17.998117075499188</v>
      </c>
      <c r="J28" s="3">
        <f t="shared" si="2"/>
        <v>1000</v>
      </c>
      <c r="K28" s="3">
        <f t="shared" si="3"/>
        <v>12000</v>
      </c>
      <c r="L28" s="3">
        <v>20</v>
      </c>
      <c r="M28" s="4">
        <f t="shared" si="13"/>
        <v>899.90585377495938</v>
      </c>
      <c r="N28" s="4">
        <f t="shared" si="14"/>
        <v>10798.870245299513</v>
      </c>
      <c r="O28" s="5">
        <f t="shared" si="15"/>
        <v>144619.8851789411</v>
      </c>
      <c r="P28">
        <v>26</v>
      </c>
      <c r="Q28" s="11">
        <f t="shared" si="16"/>
        <v>251273.65548836484</v>
      </c>
      <c r="R28" s="11">
        <f t="shared" si="17"/>
        <v>17564.028518636704</v>
      </c>
      <c r="S28" s="11">
        <f t="shared" si="18"/>
        <v>268837.68400700152</v>
      </c>
      <c r="T28" s="14">
        <f t="shared" si="4"/>
        <v>6.9900000000000004E-2</v>
      </c>
      <c r="U28" s="12">
        <f t="shared" si="5"/>
        <v>-295151.26846138155</v>
      </c>
      <c r="V28" s="18" t="s">
        <v>19</v>
      </c>
      <c r="W28" s="13">
        <v>13627.64</v>
      </c>
      <c r="X28" s="15">
        <f t="shared" si="19"/>
        <v>0.2202061010125973</v>
      </c>
      <c r="Y28" s="12">
        <f t="shared" si="6"/>
        <v>185984.11898159829</v>
      </c>
      <c r="Z28" s="12">
        <f t="shared" si="7"/>
        <v>1030575.2457776661</v>
      </c>
      <c r="AA28" s="12">
        <f t="shared" si="8"/>
        <v>88113.941207976313</v>
      </c>
      <c r="AB28" s="18" t="s">
        <v>19</v>
      </c>
      <c r="AC28" s="13">
        <v>13627.64</v>
      </c>
      <c r="AD28" s="15">
        <f t="shared" si="1"/>
        <v>0.20520610101259729</v>
      </c>
      <c r="AE28" s="12">
        <f t="shared" si="9"/>
        <v>122558.94224889934</v>
      </c>
      <c r="AF28" s="12">
        <f t="shared" si="10"/>
        <v>719806.98528527888</v>
      </c>
      <c r="AG28" s="12">
        <f t="shared" si="11"/>
        <v>-378053.70101625065</v>
      </c>
    </row>
    <row r="29" spans="1:33">
      <c r="A29">
        <v>27</v>
      </c>
      <c r="B29" s="1">
        <f t="shared" si="20"/>
        <v>6.3299999999999995E-2</v>
      </c>
      <c r="C29">
        <f t="shared" si="21"/>
        <v>0.53762277567402872</v>
      </c>
      <c r="D29" s="2">
        <f t="shared" si="22"/>
        <v>1055.516275176534</v>
      </c>
      <c r="E29" s="2">
        <f t="shared" si="23"/>
        <v>12666.195302118409</v>
      </c>
      <c r="F29" s="2">
        <f t="shared" si="24"/>
        <v>172195.34699435238</v>
      </c>
      <c r="G29" s="2">
        <f t="shared" si="0"/>
        <v>-328297.67090512044</v>
      </c>
      <c r="H29">
        <v>27</v>
      </c>
      <c r="I29" s="4">
        <f t="shared" si="12"/>
        <v>19.137397886378288</v>
      </c>
      <c r="J29" s="3">
        <f t="shared" si="2"/>
        <v>1000</v>
      </c>
      <c r="K29" s="3">
        <f t="shared" si="3"/>
        <v>12000</v>
      </c>
      <c r="L29" s="3">
        <v>20</v>
      </c>
      <c r="M29" s="4">
        <f t="shared" si="13"/>
        <v>956.86989431891436</v>
      </c>
      <c r="N29" s="4">
        <f t="shared" si="14"/>
        <v>11482.438731826973</v>
      </c>
      <c r="O29" s="5">
        <f t="shared" si="15"/>
        <v>156102.32391076809</v>
      </c>
      <c r="P29">
        <v>27</v>
      </c>
      <c r="Q29" s="11">
        <f t="shared" si="16"/>
        <v>268837.68400700152</v>
      </c>
      <c r="R29" s="11">
        <f t="shared" si="17"/>
        <v>18791.754112089406</v>
      </c>
      <c r="S29" s="11">
        <f t="shared" si="18"/>
        <v>287629.43811909092</v>
      </c>
      <c r="T29" s="14">
        <f t="shared" si="4"/>
        <v>6.9900000000000004E-2</v>
      </c>
      <c r="U29" s="12">
        <f t="shared" si="5"/>
        <v>-339930.9761607775</v>
      </c>
      <c r="V29" s="18" t="s">
        <v>20</v>
      </c>
      <c r="W29" s="13">
        <v>12638.32</v>
      </c>
      <c r="X29" s="15">
        <f t="shared" si="19"/>
        <v>-7.2596575782747363E-2</v>
      </c>
      <c r="Y29" s="12">
        <f t="shared" si="6"/>
        <v>-74816.233929921829</v>
      </c>
      <c r="Z29" s="12">
        <f t="shared" si="7"/>
        <v>955759.01184774423</v>
      </c>
      <c r="AA29" s="12">
        <f t="shared" si="8"/>
        <v>57568.53676360954</v>
      </c>
      <c r="AB29" s="18" t="s">
        <v>20</v>
      </c>
      <c r="AC29" s="13">
        <v>12638.32</v>
      </c>
      <c r="AD29" s="15">
        <f t="shared" si="1"/>
        <v>-8.7596575782747363E-2</v>
      </c>
      <c r="AE29" s="12">
        <f t="shared" si="9"/>
        <v>-63052.627135492847</v>
      </c>
      <c r="AF29" s="12">
        <f t="shared" si="10"/>
        <v>656754.35814978601</v>
      </c>
      <c r="AG29" s="12">
        <f t="shared" si="11"/>
        <v>-356937.56124523253</v>
      </c>
    </row>
    <row r="30" spans="1:33">
      <c r="A30">
        <v>28</v>
      </c>
      <c r="B30" s="1">
        <f t="shared" si="20"/>
        <v>6.3299999999999995E-2</v>
      </c>
      <c r="C30">
        <f t="shared" si="21"/>
        <v>0.57165429737419471</v>
      </c>
      <c r="D30" s="2">
        <f t="shared" si="22"/>
        <v>1122.3304553952087</v>
      </c>
      <c r="E30" s="2">
        <f t="shared" si="23"/>
        <v>13467.965464742505</v>
      </c>
      <c r="F30" s="2">
        <f t="shared" si="24"/>
        <v>185663.31245909489</v>
      </c>
      <c r="G30" s="2">
        <f t="shared" si="0"/>
        <v>-353974.91347341461</v>
      </c>
      <c r="H30">
        <v>28</v>
      </c>
      <c r="I30" s="4">
        <f t="shared" si="12"/>
        <v>20.348795172586033</v>
      </c>
      <c r="J30" s="3">
        <f t="shared" si="2"/>
        <v>1000</v>
      </c>
      <c r="K30" s="3">
        <f t="shared" si="3"/>
        <v>12000</v>
      </c>
      <c r="L30" s="3">
        <v>20</v>
      </c>
      <c r="M30" s="4">
        <f t="shared" si="13"/>
        <v>1017.4397586293017</v>
      </c>
      <c r="N30" s="4">
        <f t="shared" si="14"/>
        <v>12209.27710355162</v>
      </c>
      <c r="O30" s="5">
        <f t="shared" si="15"/>
        <v>168311.60101431969</v>
      </c>
      <c r="P30">
        <v>28</v>
      </c>
      <c r="Q30" s="11">
        <f t="shared" si="16"/>
        <v>287629.43811909092</v>
      </c>
      <c r="R30" s="11">
        <f t="shared" si="17"/>
        <v>20105.297724524455</v>
      </c>
      <c r="S30" s="11">
        <f t="shared" si="18"/>
        <v>307734.73584361537</v>
      </c>
      <c r="T30" s="14">
        <f t="shared" si="4"/>
        <v>6.9900000000000004E-2</v>
      </c>
      <c r="U30" s="12">
        <f t="shared" si="5"/>
        <v>-389369.39396270993</v>
      </c>
      <c r="V30" s="18" t="s">
        <v>21</v>
      </c>
      <c r="W30" s="13">
        <v>7608.92</v>
      </c>
      <c r="X30" s="15">
        <f t="shared" si="19"/>
        <v>-0.39794846150437713</v>
      </c>
      <c r="Y30" s="12">
        <f t="shared" si="6"/>
        <v>-380342.82833375357</v>
      </c>
      <c r="Z30" s="12">
        <f t="shared" si="7"/>
        <v>575416.1835139906</v>
      </c>
      <c r="AA30" s="12">
        <f t="shared" si="8"/>
        <v>8981.9835591788287</v>
      </c>
      <c r="AB30" s="18" t="s">
        <v>21</v>
      </c>
      <c r="AC30" s="13">
        <v>7608.92</v>
      </c>
      <c r="AD30" s="15">
        <f t="shared" si="1"/>
        <v>-0.41294846150437714</v>
      </c>
      <c r="AE30" s="12">
        <f t="shared" si="9"/>
        <v>-271205.70178424881</v>
      </c>
      <c r="AF30" s="12">
        <f t="shared" si="10"/>
        <v>385548.6563655372</v>
      </c>
      <c r="AG30" s="12">
        <f t="shared" si="11"/>
        <v>-221540.81437588937</v>
      </c>
    </row>
    <row r="31" spans="1:33">
      <c r="A31">
        <v>29</v>
      </c>
      <c r="B31" s="1">
        <f t="shared" si="20"/>
        <v>6.3299999999999995E-2</v>
      </c>
      <c r="C31">
        <f t="shared" si="21"/>
        <v>0.60784001439798119</v>
      </c>
      <c r="D31" s="2">
        <f t="shared" si="22"/>
        <v>1193.3739732217255</v>
      </c>
      <c r="E31" s="2">
        <f t="shared" si="23"/>
        <v>14320.487678660706</v>
      </c>
      <c r="F31" s="2">
        <f t="shared" si="24"/>
        <v>199983.80013775558</v>
      </c>
      <c r="G31" s="2">
        <f t="shared" si="0"/>
        <v>-381277.52549628168</v>
      </c>
      <c r="H31">
        <v>29</v>
      </c>
      <c r="I31" s="4">
        <f t="shared" si="12"/>
        <v>21.636873907010731</v>
      </c>
      <c r="J31" s="3">
        <f t="shared" si="2"/>
        <v>1000</v>
      </c>
      <c r="K31" s="3">
        <f t="shared" si="3"/>
        <v>12000</v>
      </c>
      <c r="L31" s="3">
        <v>20</v>
      </c>
      <c r="M31" s="4">
        <f t="shared" si="13"/>
        <v>1081.8436953505366</v>
      </c>
      <c r="N31" s="4">
        <f t="shared" si="14"/>
        <v>12982.124344206439</v>
      </c>
      <c r="O31" s="5">
        <f t="shared" si="15"/>
        <v>181293.72535852614</v>
      </c>
      <c r="P31">
        <v>29</v>
      </c>
      <c r="Q31" s="11">
        <f t="shared" si="16"/>
        <v>307734.73584361537</v>
      </c>
      <c r="R31" s="11">
        <f t="shared" si="17"/>
        <v>21510.658035468718</v>
      </c>
      <c r="S31" s="11">
        <f t="shared" si="18"/>
        <v>329245.39387908409</v>
      </c>
      <c r="T31" s="14">
        <f t="shared" si="4"/>
        <v>6.9900000000000004E-2</v>
      </c>
      <c r="U31" s="12">
        <f t="shared" si="5"/>
        <v>-443888.9266235705</v>
      </c>
      <c r="V31" s="18" t="s">
        <v>22</v>
      </c>
      <c r="W31" s="13">
        <v>10136.629999999999</v>
      </c>
      <c r="X31" s="15">
        <f t="shared" si="19"/>
        <v>0.33220351902766732</v>
      </c>
      <c r="Y31" s="12">
        <f t="shared" si="6"/>
        <v>191155.28106881768</v>
      </c>
      <c r="Z31" s="12">
        <f t="shared" si="7"/>
        <v>766571.46458280832</v>
      </c>
      <c r="AA31" s="12">
        <f t="shared" si="8"/>
        <v>-15336.781917480457</v>
      </c>
      <c r="AB31" s="18" t="s">
        <v>22</v>
      </c>
      <c r="AC31" s="13">
        <v>10136.629999999999</v>
      </c>
      <c r="AD31" s="15">
        <f t="shared" si="1"/>
        <v>0.3172035190276673</v>
      </c>
      <c r="AE31" s="12">
        <f t="shared" si="9"/>
        <v>122297.39055553725</v>
      </c>
      <c r="AF31" s="12">
        <f t="shared" si="10"/>
        <v>507846.04692107445</v>
      </c>
      <c r="AG31" s="12">
        <f t="shared" si="11"/>
        <v>-303814.41020417667</v>
      </c>
    </row>
    <row r="32" spans="1:33">
      <c r="A32">
        <v>30</v>
      </c>
      <c r="B32" s="1">
        <f t="shared" si="20"/>
        <v>6.3299999999999995E-2</v>
      </c>
      <c r="C32">
        <f t="shared" si="21"/>
        <v>0.64631628730937341</v>
      </c>
      <c r="D32" s="2">
        <f t="shared" si="22"/>
        <v>1268.9145457266607</v>
      </c>
      <c r="E32" s="2">
        <f t="shared" si="23"/>
        <v>15226.974548719929</v>
      </c>
      <c r="F32" s="2">
        <f t="shared" si="24"/>
        <v>215210.77468647552</v>
      </c>
      <c r="G32" s="2">
        <f t="shared" si="0"/>
        <v>-410308.39286019636</v>
      </c>
      <c r="H32">
        <v>30</v>
      </c>
      <c r="I32" s="4">
        <f t="shared" si="12"/>
        <v>23.006488025324511</v>
      </c>
      <c r="J32" s="3">
        <f t="shared" si="2"/>
        <v>1000</v>
      </c>
      <c r="K32" s="3">
        <f t="shared" si="3"/>
        <v>12000</v>
      </c>
      <c r="L32" s="3">
        <v>20</v>
      </c>
      <c r="M32" s="4">
        <f t="shared" si="13"/>
        <v>1150.3244012662255</v>
      </c>
      <c r="N32" s="4">
        <f t="shared" si="14"/>
        <v>13803.892815194708</v>
      </c>
      <c r="O32" s="5">
        <f t="shared" si="15"/>
        <v>195097.61817372084</v>
      </c>
      <c r="P32">
        <v>30</v>
      </c>
      <c r="Q32" s="11">
        <f t="shared" si="16"/>
        <v>329245.39387908409</v>
      </c>
      <c r="R32" s="11">
        <f t="shared" si="17"/>
        <v>23014.253032147979</v>
      </c>
      <c r="S32" s="11">
        <f t="shared" si="18"/>
        <v>352259.64691123209</v>
      </c>
      <c r="T32" s="14">
        <f t="shared" si="4"/>
        <v>6.9900000000000004E-2</v>
      </c>
      <c r="U32" s="12">
        <f t="shared" si="5"/>
        <v>-503947.62995847274</v>
      </c>
      <c r="V32" s="18" t="s">
        <v>23</v>
      </c>
      <c r="W32" s="13">
        <v>12402.76</v>
      </c>
      <c r="X32" s="15">
        <f t="shared" si="19"/>
        <v>0.22355851994203224</v>
      </c>
      <c r="Y32" s="12">
        <f t="shared" si="6"/>
        <v>171373.58205192862</v>
      </c>
      <c r="Z32" s="12">
        <f t="shared" si="7"/>
        <v>937945.04663473694</v>
      </c>
      <c r="AA32" s="12">
        <f t="shared" si="8"/>
        <v>-47796.317547540748</v>
      </c>
      <c r="AB32" s="18" t="s">
        <v>23</v>
      </c>
      <c r="AC32" s="13">
        <v>12402.76</v>
      </c>
      <c r="AD32" s="15">
        <f t="shared" si="1"/>
        <v>0.20855851994203223</v>
      </c>
      <c r="AE32" s="12">
        <f t="shared" si="9"/>
        <v>105915.61990427114</v>
      </c>
      <c r="AF32" s="12">
        <f t="shared" si="10"/>
        <v>613761.6668253456</v>
      </c>
      <c r="AG32" s="12">
        <f t="shared" si="11"/>
        <v>-379177.56383342121</v>
      </c>
    </row>
    <row r="33" spans="1:32">
      <c r="V33" s="17"/>
      <c r="W33" t="s">
        <v>26</v>
      </c>
      <c r="X33" s="15">
        <f>SUM(X3:X32)/30</f>
        <v>0.10475488158220012</v>
      </c>
      <c r="Z33" s="19"/>
      <c r="AB33" s="17"/>
      <c r="AC33" t="s">
        <v>26</v>
      </c>
      <c r="AD33" s="15">
        <f>SUM(AD3:AD32)/30</f>
        <v>8.9754881582200144E-2</v>
      </c>
      <c r="AF33" s="20"/>
    </row>
    <row r="34" spans="1:32">
      <c r="T34" t="s">
        <v>24</v>
      </c>
      <c r="W34" t="s">
        <v>25</v>
      </c>
      <c r="X34" s="15">
        <f>SUM(X23:X32)/10</f>
        <v>3.6240090391156977E-2</v>
      </c>
      <c r="Z34" s="20"/>
      <c r="AC34" t="s">
        <v>25</v>
      </c>
      <c r="AD34" s="15">
        <f>SUM(AD23:AD32)/10</f>
        <v>2.1240090391156968E-2</v>
      </c>
      <c r="AF34" s="20"/>
    </row>
    <row r="35" spans="1:32">
      <c r="A35" t="s">
        <v>4</v>
      </c>
      <c r="P35" t="s">
        <v>17</v>
      </c>
      <c r="W35" t="s">
        <v>27</v>
      </c>
      <c r="X35" s="15">
        <f>SUM(X21:X32)/12</f>
        <v>3.2990431109325542E-2</v>
      </c>
      <c r="AC35" t="s">
        <v>27</v>
      </c>
      <c r="AD35" s="15">
        <f>SUM(AD21:AD32)/12</f>
        <v>1.7990431109325539E-2</v>
      </c>
    </row>
    <row r="36" spans="1:32">
      <c r="A36" t="s">
        <v>38</v>
      </c>
      <c r="C36" t="s">
        <v>2</v>
      </c>
      <c r="D36" s="2" t="s">
        <v>39</v>
      </c>
      <c r="E36" s="12" t="s">
        <v>5</v>
      </c>
      <c r="F36" s="12" t="s">
        <v>6</v>
      </c>
      <c r="G36" s="2" t="s">
        <v>40</v>
      </c>
      <c r="H36" s="5"/>
    </row>
    <row r="37" spans="1:32">
      <c r="A37" s="1">
        <v>4.7500000000000001E-2</v>
      </c>
      <c r="B37" s="7">
        <f>(275000*1.2)+55000</f>
        <v>385000</v>
      </c>
      <c r="C37" s="7">
        <f>B37*0.2</f>
        <v>77000</v>
      </c>
      <c r="D37" s="2">
        <f>PMT(0.0038083333,360,(308000*0.8))</f>
        <v>-1258.7418548101291</v>
      </c>
      <c r="E37" s="2">
        <v>0</v>
      </c>
      <c r="F37" s="2">
        <f>D37+E37</f>
        <v>-1258.7418548101291</v>
      </c>
      <c r="G37" s="2">
        <f>(D37*360)-C37</f>
        <v>-530147.06773164647</v>
      </c>
    </row>
    <row r="38" spans="1:32">
      <c r="A38" t="s">
        <v>52</v>
      </c>
    </row>
    <row r="39" spans="1:32">
      <c r="A39" t="s">
        <v>3</v>
      </c>
      <c r="D39" s="12"/>
      <c r="E39" s="12" t="s">
        <v>7</v>
      </c>
      <c r="F39" s="12"/>
      <c r="G39" s="12" t="s">
        <v>8</v>
      </c>
      <c r="H39" s="22" t="s">
        <v>9</v>
      </c>
      <c r="I39" s="22"/>
    </row>
    <row r="40" spans="1:32">
      <c r="A40" s="14">
        <v>4.7500000000000001E-2</v>
      </c>
      <c r="B40" s="7">
        <v>310000</v>
      </c>
      <c r="C40" s="7">
        <f>B40*0.2</f>
        <v>62000</v>
      </c>
      <c r="D40" s="12">
        <f>PMT(0.0038083333,360,(248000*0.8))</f>
        <v>-1013.5324025743896</v>
      </c>
      <c r="E40" s="12">
        <v>-408</v>
      </c>
      <c r="F40" s="12">
        <f>D40+E40</f>
        <v>-1421.5324025743896</v>
      </c>
      <c r="G40" s="12">
        <f>(D40*360)-C40</f>
        <v>-426871.66492678027</v>
      </c>
      <c r="H40" s="23">
        <f>G40+G32</f>
        <v>-837180.05778697669</v>
      </c>
      <c r="I40" s="22"/>
    </row>
    <row r="41" spans="1:32">
      <c r="D41" s="12"/>
      <c r="E41" s="12"/>
      <c r="F41" s="12"/>
      <c r="G41" s="12"/>
    </row>
    <row r="42" spans="1:32" ht="39">
      <c r="A42" t="s">
        <v>42</v>
      </c>
      <c r="C42" t="s">
        <v>41</v>
      </c>
      <c r="D42" s="6" t="s">
        <v>45</v>
      </c>
      <c r="G42" s="6" t="s">
        <v>10</v>
      </c>
    </row>
    <row r="43" spans="1:32">
      <c r="A43" t="s">
        <v>43</v>
      </c>
      <c r="B43">
        <v>800</v>
      </c>
      <c r="C43">
        <f>60000*0.3</f>
        <v>18000</v>
      </c>
      <c r="D43" s="2">
        <f>SUM(B43:C44)</f>
        <v>20000</v>
      </c>
      <c r="G43" s="2">
        <f>G37+D43</f>
        <v>-510147.06773164647</v>
      </c>
    </row>
    <row r="44" spans="1:32">
      <c r="A44" t="s">
        <v>44</v>
      </c>
      <c r="B44">
        <v>1200</v>
      </c>
    </row>
    <row r="45" spans="1:32">
      <c r="A45" t="s">
        <v>11</v>
      </c>
      <c r="D45" s="12">
        <v>15000</v>
      </c>
      <c r="E45" s="12"/>
      <c r="F45" s="12"/>
      <c r="G45" s="12"/>
    </row>
    <row r="46" spans="1:32">
      <c r="A46" t="s">
        <v>12</v>
      </c>
      <c r="D46" s="12">
        <v>5000</v>
      </c>
      <c r="F46" s="12"/>
      <c r="G46" s="12"/>
    </row>
    <row r="47" spans="1:32">
      <c r="A47" s="12" t="s">
        <v>13</v>
      </c>
      <c r="D47" s="12">
        <f>(F37-F40)*12</f>
        <v>1953.4865731711261</v>
      </c>
      <c r="E47" s="12"/>
      <c r="F47" s="12"/>
      <c r="G47" s="12"/>
    </row>
    <row r="48" spans="1:32">
      <c r="A48" t="s">
        <v>14</v>
      </c>
      <c r="D48" s="12">
        <f>D46+D47</f>
        <v>6953.4865731711261</v>
      </c>
      <c r="E48" s="12"/>
      <c r="F48" s="12"/>
      <c r="G48" s="12"/>
    </row>
    <row r="49" spans="4:7">
      <c r="D49" s="12"/>
      <c r="E49" s="12"/>
      <c r="F49" s="12"/>
      <c r="G49" s="12"/>
    </row>
    <row r="50" spans="4:7">
      <c r="E50" s="5" t="s">
        <v>49</v>
      </c>
      <c r="G50" s="2">
        <f>(G37-G32)*-1</f>
        <v>119838.67487145012</v>
      </c>
    </row>
    <row r="51" spans="4:7">
      <c r="D51" s="5" t="s">
        <v>50</v>
      </c>
      <c r="G51" s="2">
        <f>G50/360</f>
        <v>332.88520797625034</v>
      </c>
    </row>
    <row r="52" spans="4:7">
      <c r="F52" s="9" t="s">
        <v>51</v>
      </c>
      <c r="G52" s="2">
        <f>D3+M3</f>
        <v>408</v>
      </c>
    </row>
    <row r="53" spans="4:7">
      <c r="F53" s="9" t="s">
        <v>0</v>
      </c>
      <c r="G53" s="2">
        <f>G32</f>
        <v>-410308.39286019636</v>
      </c>
    </row>
    <row r="55" spans="4:7">
      <c r="F55" s="21" t="s">
        <v>1</v>
      </c>
      <c r="G55" s="12">
        <f>FV(0.0582825563,30,,75000,0)</f>
        <v>-410308.3869780798</v>
      </c>
    </row>
  </sheetData>
  <sheetCalcPr fullCalcOnLoad="1"/>
  <mergeCells count="2">
    <mergeCell ref="H39:I39"/>
    <mergeCell ref="H40:I40"/>
  </mergeCells>
  <phoneticPr fontId="1" type="noConversion"/>
  <pageMargins left="0.75" right="0.75" top="1" bottom="1" header="0.5" footer="0.5"/>
  <pageSetup orientation="portrait" horizontalDpi="4294967292" verticalDpi="4294967292"/>
  <headerFooter>
    <oddHeader>&amp;LEnergy Costs for typical 2000 sf house and 20 mpg car over 30 year mortgage period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CVH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2011-04-10T15:44:26Z</dcterms:created>
  <dcterms:modified xsi:type="dcterms:W3CDTF">2011-07-24T00:06:36Z</dcterms:modified>
</cp:coreProperties>
</file>